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63D90579-7B5A-4247-A716-0128312A90D5}" xr6:coauthVersionLast="47" xr6:coauthVersionMax="47" xr10:uidLastSave="{00000000-0000-0000-0000-000000000000}"/>
  <bookViews>
    <workbookView xWindow="-120" yWindow="-120" windowWidth="20730" windowHeight="11160" xr2:uid="{5BF48DAD-F709-47B4-B04F-07191F7395D5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4" i="1" l="1"/>
  <c r="A11" i="1"/>
  <c r="T15" i="1"/>
  <c r="T90" i="1"/>
  <c r="T67" i="1"/>
  <c r="T17" i="1"/>
  <c r="T80" i="1"/>
  <c r="T16" i="1"/>
  <c r="T63" i="1"/>
  <c r="T100" i="1"/>
  <c r="T53" i="1"/>
  <c r="T35" i="1"/>
  <c r="T36" i="1"/>
  <c r="T19" i="1"/>
  <c r="T75" i="1"/>
  <c r="T68" i="1"/>
  <c r="T91" i="1"/>
  <c r="T20" i="1"/>
  <c r="T27" i="1"/>
  <c r="T97" i="1"/>
  <c r="T14" i="1"/>
  <c r="T8" i="1"/>
  <c r="T55" i="1"/>
  <c r="T89" i="1"/>
  <c r="T10" i="1"/>
  <c r="T59" i="1"/>
  <c r="T34" i="1"/>
  <c r="T31" i="1"/>
  <c r="T37" i="1"/>
  <c r="T66" i="1"/>
  <c r="T28" i="1"/>
  <c r="T9" i="1"/>
  <c r="T29" i="1"/>
  <c r="T30" i="1"/>
  <c r="T65" i="1"/>
  <c r="T83" i="1"/>
  <c r="T22" i="1"/>
  <c r="T40" i="1"/>
  <c r="T39" i="1"/>
  <c r="T61" i="1"/>
  <c r="T12" i="1"/>
  <c r="T64" i="1"/>
  <c r="T88" i="1"/>
  <c r="T18" i="1"/>
  <c r="T21" i="1"/>
  <c r="T13" i="1"/>
  <c r="T79" i="1"/>
  <c r="T84" i="1"/>
  <c r="T82" i="1"/>
  <c r="T43" i="1"/>
  <c r="T62" i="1"/>
  <c r="T23" i="1"/>
  <c r="T60" i="1"/>
  <c r="T81" i="1"/>
  <c r="T96" i="1"/>
  <c r="T92" i="1"/>
  <c r="T73" i="1"/>
  <c r="T87" i="1"/>
  <c r="T86" i="1"/>
  <c r="T72" i="1"/>
  <c r="T42" i="1"/>
  <c r="T76" i="1"/>
  <c r="T45" i="1"/>
  <c r="T38" i="1"/>
  <c r="T11" i="1"/>
  <c r="T33" i="1"/>
  <c r="T52" i="1"/>
  <c r="T85" i="1"/>
  <c r="T50" i="1"/>
  <c r="T54" i="1"/>
  <c r="D90" i="1"/>
  <c r="A90" i="1"/>
  <c r="D80" i="1"/>
  <c r="A80" i="1"/>
  <c r="D16" i="1"/>
  <c r="A16" i="1"/>
  <c r="D63" i="1"/>
  <c r="A63" i="1"/>
  <c r="D53" i="1"/>
  <c r="A53" i="1"/>
  <c r="D35" i="1"/>
  <c r="A35" i="1"/>
  <c r="D36" i="1"/>
  <c r="A36" i="1"/>
  <c r="D19" i="1"/>
  <c r="A19" i="1"/>
  <c r="D46" i="1"/>
  <c r="A46" i="1"/>
  <c r="D75" i="1"/>
  <c r="A75" i="1"/>
  <c r="D68" i="1"/>
  <c r="A68" i="1"/>
  <c r="D48" i="1"/>
  <c r="A48" i="1"/>
  <c r="D98" i="1"/>
  <c r="A98" i="1"/>
  <c r="D91" i="1"/>
  <c r="A91" i="1"/>
  <c r="D20" i="1"/>
  <c r="A20" i="1"/>
  <c r="D27" i="1"/>
  <c r="A27" i="1"/>
  <c r="D97" i="1"/>
  <c r="A97" i="1"/>
  <c r="D14" i="1"/>
  <c r="A14" i="1"/>
  <c r="D8" i="1"/>
  <c r="A8" i="1"/>
  <c r="D55" i="1"/>
  <c r="A55" i="1"/>
  <c r="D89" i="1"/>
  <c r="A89" i="1"/>
  <c r="D25" i="1"/>
  <c r="A25" i="1"/>
  <c r="D57" i="1"/>
  <c r="A57" i="1"/>
  <c r="D10" i="1"/>
  <c r="A10" i="1"/>
  <c r="D59" i="1"/>
  <c r="A59" i="1"/>
  <c r="D37" i="1"/>
  <c r="A37" i="1"/>
  <c r="D47" i="1"/>
  <c r="A47" i="1"/>
  <c r="D66" i="1"/>
  <c r="A66" i="1"/>
  <c r="D56" i="1"/>
  <c r="A56" i="1"/>
  <c r="D28" i="1"/>
  <c r="A28" i="1"/>
  <c r="D9" i="1"/>
  <c r="A9" i="1"/>
  <c r="D29" i="1"/>
  <c r="A29" i="1"/>
  <c r="D65" i="1"/>
  <c r="A65" i="1"/>
  <c r="D83" i="1"/>
  <c r="A83" i="1"/>
  <c r="D22" i="1"/>
  <c r="A22" i="1"/>
  <c r="D40" i="1"/>
  <c r="A40" i="1"/>
  <c r="D94" i="1"/>
  <c r="A94" i="1"/>
  <c r="A61" i="1"/>
  <c r="D12" i="1"/>
  <c r="A12" i="1"/>
  <c r="D64" i="1"/>
  <c r="A64" i="1"/>
  <c r="D88" i="1"/>
  <c r="A88" i="1"/>
  <c r="D93" i="1"/>
  <c r="A93" i="1"/>
  <c r="D18" i="1"/>
  <c r="A18" i="1"/>
  <c r="D21" i="1"/>
  <c r="A21" i="1"/>
  <c r="D13" i="1"/>
  <c r="A13" i="1"/>
  <c r="D79" i="1"/>
  <c r="A79" i="1"/>
  <c r="D84" i="1"/>
  <c r="A84" i="1"/>
  <c r="D82" i="1"/>
  <c r="A82" i="1"/>
  <c r="D43" i="1"/>
  <c r="A43" i="1"/>
  <c r="D62" i="1"/>
  <c r="A62" i="1"/>
  <c r="D23" i="1"/>
  <c r="A23" i="1"/>
  <c r="D60" i="1"/>
  <c r="A60" i="1"/>
  <c r="D81" i="1"/>
  <c r="A81" i="1"/>
  <c r="D96" i="1"/>
  <c r="A96" i="1"/>
  <c r="D92" i="1"/>
  <c r="A92" i="1"/>
  <c r="D73" i="1"/>
  <c r="A73" i="1"/>
  <c r="D87" i="1"/>
  <c r="A87" i="1"/>
  <c r="D70" i="1"/>
  <c r="A70" i="1"/>
  <c r="D72" i="1"/>
  <c r="A72" i="1"/>
  <c r="D42" i="1"/>
  <c r="A42" i="1"/>
  <c r="D76" i="1"/>
  <c r="A76" i="1"/>
  <c r="D45" i="1"/>
  <c r="A45" i="1"/>
  <c r="D77" i="1"/>
  <c r="A77" i="1"/>
  <c r="D38" i="1"/>
  <c r="A38" i="1"/>
  <c r="D24" i="1"/>
  <c r="A24" i="1"/>
  <c r="D11" i="1"/>
  <c r="D33" i="1"/>
  <c r="A33" i="1"/>
  <c r="D52" i="1"/>
  <c r="A52" i="1"/>
  <c r="D85" i="1"/>
  <c r="A85" i="1"/>
  <c r="D69" i="1"/>
  <c r="A69" i="1"/>
  <c r="D50" i="1"/>
  <c r="A50" i="1"/>
  <c r="D54" i="1"/>
  <c r="A54" i="1"/>
</calcChain>
</file>

<file path=xl/sharedStrings.xml><?xml version="1.0" encoding="utf-8"?>
<sst xmlns="http://schemas.openxmlformats.org/spreadsheetml/2006/main" count="709" uniqueCount="249">
  <si>
    <t>Waltham Chase Trials MCC - The Alan Sansom</t>
  </si>
  <si>
    <t>Sunday 10th April 2022 at Ham Lane, Langrish - Permit ACU62801</t>
  </si>
  <si>
    <t>Number</t>
  </si>
  <si>
    <t>Name</t>
  </si>
  <si>
    <t>ACU Number</t>
  </si>
  <si>
    <t>Class</t>
  </si>
  <si>
    <t>Machine</t>
  </si>
  <si>
    <t>Club</t>
  </si>
  <si>
    <t>George</t>
  </si>
  <si>
    <t>Greenland</t>
  </si>
  <si>
    <t>Pre-65 D</t>
  </si>
  <si>
    <t>BSA Bantam 175</t>
  </si>
  <si>
    <t>Waltham Chase Trials MCC</t>
  </si>
  <si>
    <t>Neil</t>
  </si>
  <si>
    <t>Clarke</t>
  </si>
  <si>
    <t>Pre-65 C</t>
  </si>
  <si>
    <t>DOT 250</t>
  </si>
  <si>
    <t>Miles</t>
  </si>
  <si>
    <t>Garland</t>
  </si>
  <si>
    <t>Sportsman</t>
  </si>
  <si>
    <t>Beta Evo 250</t>
  </si>
  <si>
    <t>Colin</t>
  </si>
  <si>
    <t>Mew</t>
  </si>
  <si>
    <t>Veteran</t>
  </si>
  <si>
    <t>TRS 250</t>
  </si>
  <si>
    <t>Karen</t>
  </si>
  <si>
    <t>BSA Bantam</t>
  </si>
  <si>
    <t>Thomas</t>
  </si>
  <si>
    <t>Moss</t>
  </si>
  <si>
    <t>Expert</t>
  </si>
  <si>
    <t>Honda MRT 300</t>
  </si>
  <si>
    <t>Eastbourne &amp; District MCC</t>
  </si>
  <si>
    <t>Andy</t>
  </si>
  <si>
    <t>Paul</t>
  </si>
  <si>
    <t>Clubman</t>
  </si>
  <si>
    <t>Vertigo DL 250</t>
  </si>
  <si>
    <t>Glenn</t>
  </si>
  <si>
    <t>Bailey</t>
  </si>
  <si>
    <t>TRRS 300</t>
  </si>
  <si>
    <t>Waterside MCC</t>
  </si>
  <si>
    <t>Geoff</t>
  </si>
  <si>
    <t>Titcombe</t>
  </si>
  <si>
    <t>Twin Shock D</t>
  </si>
  <si>
    <t>Honda TLM 50</t>
  </si>
  <si>
    <t>Mark</t>
  </si>
  <si>
    <t>Chivers</t>
  </si>
  <si>
    <t>Malcolm</t>
  </si>
  <si>
    <t>Twin Shock C</t>
  </si>
  <si>
    <t>Honda TLR 200</t>
  </si>
  <si>
    <t>Robert</t>
  </si>
  <si>
    <t>Bishop</t>
  </si>
  <si>
    <t>Novice</t>
  </si>
  <si>
    <t>TRS ONE 250</t>
  </si>
  <si>
    <t>Thames MCC</t>
  </si>
  <si>
    <t>Billingham</t>
  </si>
  <si>
    <t>Yamaha Majesty</t>
  </si>
  <si>
    <t>Finlay</t>
  </si>
  <si>
    <t>Coles</t>
  </si>
  <si>
    <t>TRS ONE RR 125</t>
  </si>
  <si>
    <t>Andrew</t>
  </si>
  <si>
    <t>Bryant</t>
  </si>
  <si>
    <t>Gas Gas TXT280</t>
  </si>
  <si>
    <t>Mik</t>
  </si>
  <si>
    <t>Machinek</t>
  </si>
  <si>
    <t>Graham</t>
  </si>
  <si>
    <t>Butt</t>
  </si>
  <si>
    <t>TRS RR 250</t>
  </si>
  <si>
    <t>Freddy</t>
  </si>
  <si>
    <t>Mitson</t>
  </si>
  <si>
    <t>Beta Evo 125</t>
  </si>
  <si>
    <t>Trevor</t>
  </si>
  <si>
    <t>Gatrell</t>
  </si>
  <si>
    <t>Sherco 300</t>
  </si>
  <si>
    <t>Dean</t>
  </si>
  <si>
    <t>Whitlock</t>
  </si>
  <si>
    <t>Beta 250</t>
  </si>
  <si>
    <t>Jack</t>
  </si>
  <si>
    <t>David</t>
  </si>
  <si>
    <t>Brawn</t>
  </si>
  <si>
    <t>Nigel</t>
  </si>
  <si>
    <t>Parvin</t>
  </si>
  <si>
    <t>Gas Gas 250</t>
  </si>
  <si>
    <t>Shamus</t>
  </si>
  <si>
    <t>Doohan</t>
  </si>
  <si>
    <t>Dave</t>
  </si>
  <si>
    <t>Henvest</t>
  </si>
  <si>
    <t>Sherco 4T 320</t>
  </si>
  <si>
    <t>Adam</t>
  </si>
  <si>
    <t>Hardy</t>
  </si>
  <si>
    <t>Montesa 4RT</t>
  </si>
  <si>
    <t>Michael</t>
  </si>
  <si>
    <t>Hinton</t>
  </si>
  <si>
    <t>Vertigo 250</t>
  </si>
  <si>
    <t>Peter</t>
  </si>
  <si>
    <t>Gas Gas 300</t>
  </si>
  <si>
    <t>Herbert</t>
  </si>
  <si>
    <t>Ariel HT500</t>
  </si>
  <si>
    <t>Brian</t>
  </si>
  <si>
    <t>Page</t>
  </si>
  <si>
    <t>Martin</t>
  </si>
  <si>
    <t>Penfold</t>
  </si>
  <si>
    <t>TRS ONE R 250</t>
  </si>
  <si>
    <t>Steven</t>
  </si>
  <si>
    <t>Shergold</t>
  </si>
  <si>
    <t>Gas Gas TXT 280</t>
  </si>
  <si>
    <t>Shipp</t>
  </si>
  <si>
    <t>TRS 300</t>
  </si>
  <si>
    <t>Nick</t>
  </si>
  <si>
    <t>Eades</t>
  </si>
  <si>
    <t>Jordan</t>
  </si>
  <si>
    <t>Peach</t>
  </si>
  <si>
    <t>Lee</t>
  </si>
  <si>
    <t>Bruton</t>
  </si>
  <si>
    <t>Mick</t>
  </si>
  <si>
    <t>Treagus</t>
  </si>
  <si>
    <t>Gas Gas TXT 300</t>
  </si>
  <si>
    <t>Aaron</t>
  </si>
  <si>
    <t>Gamblin</t>
  </si>
  <si>
    <t>Gary</t>
  </si>
  <si>
    <t>Tarrant</t>
  </si>
  <si>
    <t>Clubman Expert</t>
  </si>
  <si>
    <t>Ringwood MC &amp; LCC</t>
  </si>
  <si>
    <t>Elms</t>
  </si>
  <si>
    <t>Beta Evo Factory 250</t>
  </si>
  <si>
    <t>Tibbs</t>
  </si>
  <si>
    <t>North Berks. MCC</t>
  </si>
  <si>
    <t>Chris</t>
  </si>
  <si>
    <t>BSA Bantam 185</t>
  </si>
  <si>
    <t>Sam</t>
  </si>
  <si>
    <t>Danny</t>
  </si>
  <si>
    <t>Orr</t>
  </si>
  <si>
    <t>Tom</t>
  </si>
  <si>
    <t>Copp</t>
  </si>
  <si>
    <t>Jason</t>
  </si>
  <si>
    <t>Colein</t>
  </si>
  <si>
    <t>Sherco ST 290</t>
  </si>
  <si>
    <t>Tim</t>
  </si>
  <si>
    <t>Carter</t>
  </si>
  <si>
    <t>Ariel HT5</t>
  </si>
  <si>
    <t>John</t>
  </si>
  <si>
    <t>Attwood</t>
  </si>
  <si>
    <t>Ian</t>
  </si>
  <si>
    <t>Newcombe</t>
  </si>
  <si>
    <t>Newell</t>
  </si>
  <si>
    <t>Royal Enfield 350</t>
  </si>
  <si>
    <t>Gates</t>
  </si>
  <si>
    <t>Tony</t>
  </si>
  <si>
    <t>Chalk</t>
  </si>
  <si>
    <t>TRS Gold 250</t>
  </si>
  <si>
    <t>Kilbey</t>
  </si>
  <si>
    <t>Youth C</t>
  </si>
  <si>
    <t>Gas Gas 125</t>
  </si>
  <si>
    <t>Hay</t>
  </si>
  <si>
    <t>Beta Evo 300</t>
  </si>
  <si>
    <t>Yeo Vale MCC Ltd</t>
  </si>
  <si>
    <t>Richard</t>
  </si>
  <si>
    <t>Gennings</t>
  </si>
  <si>
    <t>Beta Evo 290</t>
  </si>
  <si>
    <t>Archie</t>
  </si>
  <si>
    <t>Bradley</t>
  </si>
  <si>
    <t>Simon</t>
  </si>
  <si>
    <t>Montesa 4RT 250</t>
  </si>
  <si>
    <t>Webb</t>
  </si>
  <si>
    <t>Sherco 250</t>
  </si>
  <si>
    <t>Westbrook</t>
  </si>
  <si>
    <t>Ossa Mar 250</t>
  </si>
  <si>
    <t>XHG Tiger MCC Ltd</t>
  </si>
  <si>
    <t>Watson</t>
  </si>
  <si>
    <t>Montesa 315R</t>
  </si>
  <si>
    <t>Kieran</t>
  </si>
  <si>
    <t>Honda 260</t>
  </si>
  <si>
    <t>Stiles</t>
  </si>
  <si>
    <t>Gas Gas Racing 300</t>
  </si>
  <si>
    <t>Ben</t>
  </si>
  <si>
    <t>Smith</t>
  </si>
  <si>
    <t>Jim</t>
  </si>
  <si>
    <t>Gray</t>
  </si>
  <si>
    <t>Carl</t>
  </si>
  <si>
    <t>Barr</t>
  </si>
  <si>
    <t>Skerratt</t>
  </si>
  <si>
    <t>Beta 300</t>
  </si>
  <si>
    <t>Pattison</t>
  </si>
  <si>
    <t>Scorpa 143</t>
  </si>
  <si>
    <t>Stewart</t>
  </si>
  <si>
    <t>Read</t>
  </si>
  <si>
    <t>TRS 300 RR</t>
  </si>
  <si>
    <t xml:space="preserve"> </t>
  </si>
  <si>
    <t>TRS One 250</t>
  </si>
  <si>
    <t>Bird</t>
  </si>
  <si>
    <t>Montesa 260</t>
  </si>
  <si>
    <t>Ollie</t>
  </si>
  <si>
    <t>Youth D</t>
  </si>
  <si>
    <t>TRS One R 125</t>
  </si>
  <si>
    <t>Alex</t>
  </si>
  <si>
    <t>Taylor</t>
  </si>
  <si>
    <t>Vertigo 300</t>
  </si>
  <si>
    <t>Dale</t>
  </si>
  <si>
    <t>Francis</t>
  </si>
  <si>
    <t>Blackman</t>
  </si>
  <si>
    <t>John Lee Beta 300</t>
  </si>
  <si>
    <t>Bognor Regis &amp; District MCC</t>
  </si>
  <si>
    <t xml:space="preserve">Shaun </t>
  </si>
  <si>
    <t>Neville</t>
  </si>
  <si>
    <t>Sunbeam MCC</t>
  </si>
  <si>
    <t>Reynard</t>
  </si>
  <si>
    <t>Norris</t>
  </si>
  <si>
    <t>Beta</t>
  </si>
  <si>
    <t>Aldermaston Nomads</t>
  </si>
  <si>
    <t>Greg</t>
  </si>
  <si>
    <t>Seymour</t>
  </si>
  <si>
    <t>Steve</t>
  </si>
  <si>
    <t xml:space="preserve">Jake </t>
  </si>
  <si>
    <t>Forward</t>
  </si>
  <si>
    <t>TRS ONE R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</si>
  <si>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</si>
  <si>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</si>
  <si>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</si>
  <si>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</si>
  <si>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</si>
  <si>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</si>
  <si>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</si>
  <si>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</si>
  <si>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</si>
  <si>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</si>
  <si>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</si>
  <si>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</si>
  <si>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</si>
  <si>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</si>
  <si>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</si>
  <si>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DNS</t>
  </si>
  <si>
    <t>DNF</t>
  </si>
  <si>
    <t>Vertigo Titanium</t>
  </si>
  <si>
    <t>Mike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</si>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</sst>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654A-F6D9-49F8-B7FE-BAA7692CAD92}">
  <dimension ref="A1:W102"/>
  <sheetViews>
    <sheetView tabSelected="1" topLeftCell="B37" workbookViewId="0">
      <selection activeCell="F31" sqref="F31"/>
    </sheetView>
  </sheetViews>
  <sheetFormatPr defaultRowHeight="15" x14ac:dyDescent="0.25"/>
  <cols>
    <col min="1" max="1" width="9.7109375" style="7" customWidth="1"/>
    <col min="2" max="2" width="10.140625" bestFit="1" customWidth="1"/>
    <col min="3" max="3" width="13.5703125" customWidth="1"/>
    <col min="4" max="4" width="10.5703125" style="7" customWidth="1"/>
    <col min="5" max="5" width="18.85546875" customWidth="1"/>
    <col min="6" max="6" width="17.85546875" customWidth="1"/>
    <col min="7" max="7" width="25.5703125" customWidth="1"/>
    <col min="8" max="8" width="6" style="7" customWidth="1"/>
    <col min="9" max="19" width="5.7109375" style="7" customWidth="1"/>
    <col min="20" max="21" width="9.140625" style="7"/>
  </cols>
  <sheetData>
    <row r="1" spans="1:21" x14ac:dyDescent="0.25">
      <c r="A1" s="20" t="s">
        <v>214</v>
      </c>
      <c r="B1" s="20"/>
      <c r="C1" s="20"/>
      <c r="D1" s="20"/>
      <c r="E1" s="20"/>
      <c r="F1" s="20"/>
      <c r="G1" s="20"/>
    </row>
    <row r="2" spans="1:21" x14ac:dyDescent="0.25">
      <c r="A2" s="8"/>
      <c r="B2" s="1"/>
      <c r="C2" s="1"/>
      <c r="D2" s="8"/>
      <c r="E2" s="1"/>
      <c r="F2" s="1"/>
      <c r="G2" s="1"/>
    </row>
    <row r="3" spans="1:21" x14ac:dyDescent="0.25">
      <c r="A3" s="20" t="s">
        <v>0</v>
      </c>
      <c r="B3" s="20"/>
      <c r="C3" s="20"/>
      <c r="D3" s="20"/>
      <c r="E3" s="20"/>
      <c r="F3" s="20"/>
      <c r="G3" s="20"/>
    </row>
    <row r="4" spans="1:21" x14ac:dyDescent="0.25">
      <c r="A4" s="8"/>
      <c r="B4" s="1"/>
      <c r="C4" s="1"/>
      <c r="D4" s="8"/>
      <c r="E4" s="1"/>
      <c r="F4" s="1"/>
      <c r="G4" s="1"/>
    </row>
    <row r="5" spans="1:21" x14ac:dyDescent="0.25">
      <c r="A5" s="20" t="s">
        <v>1</v>
      </c>
      <c r="B5" s="20"/>
      <c r="C5" s="20"/>
      <c r="D5" s="20"/>
      <c r="E5" s="20"/>
      <c r="F5" s="20"/>
      <c r="G5" s="20"/>
    </row>
    <row r="6" spans="1:21" x14ac:dyDescent="0.25">
      <c r="A6" s="8"/>
      <c r="B6" s="8"/>
      <c r="C6" s="8"/>
      <c r="D6" s="8"/>
      <c r="E6" s="8"/>
      <c r="F6" s="8"/>
      <c r="G6" s="8"/>
    </row>
    <row r="7" spans="1:21" ht="15.75" customHeight="1" x14ac:dyDescent="0.25">
      <c r="A7" s="2" t="s">
        <v>2</v>
      </c>
      <c r="B7" s="21" t="s">
        <v>3</v>
      </c>
      <c r="C7" s="22"/>
      <c r="D7" s="2" t="s">
        <v>4</v>
      </c>
      <c r="E7" s="2" t="s">
        <v>5</v>
      </c>
      <c r="F7" s="2" t="s">
        <v>6</v>
      </c>
      <c r="G7" s="9" t="s">
        <v>7</v>
      </c>
      <c r="H7" s="12" t="s">
        <v>215</v>
      </c>
      <c r="I7" s="12" t="s">
        <v>216</v>
      </c>
      <c r="J7" s="12" t="s">
        <v>217</v>
      </c>
      <c r="K7" s="12" t="s">
        <v>218</v>
      </c>
      <c r="L7" s="12" t="s">
        <v>219</v>
      </c>
      <c r="M7" s="12" t="s">
        <v>220</v>
      </c>
      <c r="N7" s="12" t="s">
        <v>221</v>
      </c>
      <c r="O7" s="12" t="s">
        <v>222</v>
      </c>
      <c r="P7" s="12" t="s">
        <v>223</v>
      </c>
      <c r="Q7" s="12" t="s">
        <v>224</v>
      </c>
      <c r="R7" s="12" t="s">
        <v>225</v>
      </c>
      <c r="S7" s="12" t="s">
        <v>226</v>
      </c>
      <c r="T7" s="12" t="s">
        <v>227</v>
      </c>
      <c r="U7" s="12" t="s">
        <v>228</v>
      </c>
    </row>
    <row r="8" spans="1:21" ht="15" customHeight="1" x14ac:dyDescent="0.25">
      <c r="A8" s="3" t="str">
        <f>("361")</f>
        <v>361</v>
      </c>
      <c r="B8" s="4" t="s">
        <v>32</v>
      </c>
      <c r="C8" s="4" t="s">
        <v>145</v>
      </c>
      <c r="D8" s="3" t="str">
        <f>("54406")</f>
        <v>54406</v>
      </c>
      <c r="E8" s="4" t="s">
        <v>34</v>
      </c>
      <c r="F8" s="4" t="s">
        <v>231</v>
      </c>
      <c r="G8" s="10" t="s">
        <v>121</v>
      </c>
      <c r="H8" s="13">
        <v>0</v>
      </c>
      <c r="I8" s="13">
        <v>0</v>
      </c>
      <c r="J8" s="13">
        <v>1</v>
      </c>
      <c r="K8" s="13">
        <v>5</v>
      </c>
      <c r="L8" s="13">
        <v>1</v>
      </c>
      <c r="M8" s="13">
        <v>9</v>
      </c>
      <c r="N8" s="13">
        <v>6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f t="shared" ref="T8:T23" si="0">SUM(H8:S8)</f>
        <v>23</v>
      </c>
      <c r="U8" s="13" t="s">
        <v>233</v>
      </c>
    </row>
    <row r="9" spans="1:21" ht="15" customHeight="1" x14ac:dyDescent="0.25">
      <c r="A9" s="5" t="str">
        <f>("225")</f>
        <v>225</v>
      </c>
      <c r="B9" s="6" t="s">
        <v>44</v>
      </c>
      <c r="C9" s="6" t="s">
        <v>122</v>
      </c>
      <c r="D9" s="5" t="str">
        <f>("54396")</f>
        <v>54396</v>
      </c>
      <c r="E9" s="6" t="s">
        <v>34</v>
      </c>
      <c r="F9" s="6" t="s">
        <v>123</v>
      </c>
      <c r="G9" s="11" t="s">
        <v>12</v>
      </c>
      <c r="H9" s="13">
        <v>0</v>
      </c>
      <c r="I9" s="13">
        <v>3</v>
      </c>
      <c r="J9" s="13">
        <v>3</v>
      </c>
      <c r="K9" s="13">
        <v>3</v>
      </c>
      <c r="L9" s="13">
        <v>0</v>
      </c>
      <c r="M9" s="13">
        <v>6</v>
      </c>
      <c r="N9" s="13">
        <v>9</v>
      </c>
      <c r="O9" s="13">
        <v>0</v>
      </c>
      <c r="P9" s="13">
        <v>0</v>
      </c>
      <c r="Q9" s="13">
        <v>0</v>
      </c>
      <c r="R9" s="13">
        <v>0</v>
      </c>
      <c r="S9" s="13">
        <v>4</v>
      </c>
      <c r="T9" s="13">
        <f t="shared" si="0"/>
        <v>28</v>
      </c>
      <c r="U9" s="13" t="s">
        <v>234</v>
      </c>
    </row>
    <row r="10" spans="1:21" ht="15" customHeight="1" x14ac:dyDescent="0.25">
      <c r="A10" s="5" t="str">
        <f>("295")</f>
        <v>295</v>
      </c>
      <c r="B10" s="6" t="s">
        <v>136</v>
      </c>
      <c r="C10" s="6" t="s">
        <v>137</v>
      </c>
      <c r="D10" s="5" t="str">
        <f>("106149")</f>
        <v>106149</v>
      </c>
      <c r="E10" s="6" t="s">
        <v>34</v>
      </c>
      <c r="F10" s="6" t="s">
        <v>81</v>
      </c>
      <c r="G10" s="11" t="s">
        <v>12</v>
      </c>
      <c r="H10" s="13">
        <v>5</v>
      </c>
      <c r="I10" s="13">
        <v>0</v>
      </c>
      <c r="J10" s="13">
        <v>4</v>
      </c>
      <c r="K10" s="13">
        <v>2</v>
      </c>
      <c r="L10" s="13">
        <v>1</v>
      </c>
      <c r="M10" s="13">
        <v>11</v>
      </c>
      <c r="N10" s="13">
        <v>6</v>
      </c>
      <c r="O10" s="13">
        <v>1</v>
      </c>
      <c r="P10" s="13">
        <v>1</v>
      </c>
      <c r="Q10" s="13">
        <v>0</v>
      </c>
      <c r="R10" s="13">
        <v>0</v>
      </c>
      <c r="S10" s="13">
        <v>1</v>
      </c>
      <c r="T10" s="13">
        <f t="shared" si="0"/>
        <v>32</v>
      </c>
      <c r="U10" s="13" t="s">
        <v>235</v>
      </c>
    </row>
    <row r="11" spans="1:21" ht="15" customHeight="1" x14ac:dyDescent="0.25">
      <c r="A11" s="5" t="str">
        <f>("24")</f>
        <v>24</v>
      </c>
      <c r="B11" s="6" t="s">
        <v>204</v>
      </c>
      <c r="C11" s="6" t="s">
        <v>205</v>
      </c>
      <c r="D11" s="5" t="str">
        <f>("177394")</f>
        <v>177394</v>
      </c>
      <c r="E11" s="6" t="s">
        <v>34</v>
      </c>
      <c r="F11" s="6" t="s">
        <v>206</v>
      </c>
      <c r="G11" s="11" t="s">
        <v>207</v>
      </c>
      <c r="H11" s="13">
        <v>1</v>
      </c>
      <c r="I11" s="13">
        <v>2</v>
      </c>
      <c r="J11" s="13">
        <v>10</v>
      </c>
      <c r="K11" s="13">
        <v>4</v>
      </c>
      <c r="L11" s="13">
        <v>0</v>
      </c>
      <c r="M11" s="13">
        <v>7</v>
      </c>
      <c r="N11" s="13">
        <v>3</v>
      </c>
      <c r="O11" s="13">
        <v>1</v>
      </c>
      <c r="P11" s="13">
        <v>0</v>
      </c>
      <c r="Q11" s="13">
        <v>0</v>
      </c>
      <c r="R11" s="13">
        <v>1</v>
      </c>
      <c r="S11" s="13">
        <v>4</v>
      </c>
      <c r="T11" s="13">
        <f t="shared" si="0"/>
        <v>33</v>
      </c>
      <c r="U11" s="13" t="s">
        <v>236</v>
      </c>
    </row>
    <row r="12" spans="1:21" ht="15" customHeight="1" x14ac:dyDescent="0.25">
      <c r="A12" s="5" t="str">
        <f>("150")</f>
        <v>150</v>
      </c>
      <c r="B12" s="6" t="s">
        <v>44</v>
      </c>
      <c r="C12" s="6" t="s">
        <v>105</v>
      </c>
      <c r="D12" s="5" t="str">
        <f>("124931")</f>
        <v>124931</v>
      </c>
      <c r="E12" s="6" t="s">
        <v>34</v>
      </c>
      <c r="F12" s="6" t="s">
        <v>106</v>
      </c>
      <c r="G12" s="11" t="s">
        <v>12</v>
      </c>
      <c r="H12" s="13">
        <v>1</v>
      </c>
      <c r="I12" s="13">
        <v>4</v>
      </c>
      <c r="J12" s="13">
        <v>5</v>
      </c>
      <c r="K12" s="13">
        <v>5</v>
      </c>
      <c r="L12" s="13">
        <v>4</v>
      </c>
      <c r="M12" s="13">
        <v>6</v>
      </c>
      <c r="N12" s="13">
        <v>7</v>
      </c>
      <c r="O12" s="13">
        <v>0</v>
      </c>
      <c r="P12" s="13">
        <v>0</v>
      </c>
      <c r="Q12" s="13">
        <v>0</v>
      </c>
      <c r="R12" s="13">
        <v>0</v>
      </c>
      <c r="S12" s="13">
        <v>3</v>
      </c>
      <c r="T12" s="13">
        <f t="shared" si="0"/>
        <v>35</v>
      </c>
      <c r="U12" s="13" t="s">
        <v>237</v>
      </c>
    </row>
    <row r="13" spans="1:21" ht="15" customHeight="1" x14ac:dyDescent="0.25">
      <c r="A13" s="5" t="str">
        <f>("109")</f>
        <v>109</v>
      </c>
      <c r="B13" s="6" t="s">
        <v>232</v>
      </c>
      <c r="C13" s="6" t="s">
        <v>91</v>
      </c>
      <c r="D13" s="5" t="str">
        <f>("198403")</f>
        <v>198403</v>
      </c>
      <c r="E13" s="6" t="s">
        <v>34</v>
      </c>
      <c r="F13" s="6" t="s">
        <v>92</v>
      </c>
      <c r="G13" s="11" t="s">
        <v>12</v>
      </c>
      <c r="H13" s="13">
        <v>0</v>
      </c>
      <c r="I13" s="13">
        <v>1</v>
      </c>
      <c r="J13" s="13">
        <v>1</v>
      </c>
      <c r="K13" s="13">
        <v>5</v>
      </c>
      <c r="L13" s="13">
        <v>5</v>
      </c>
      <c r="M13" s="13">
        <v>1</v>
      </c>
      <c r="N13" s="13">
        <v>8</v>
      </c>
      <c r="O13" s="13">
        <v>9</v>
      </c>
      <c r="P13" s="13">
        <v>0</v>
      </c>
      <c r="Q13" s="13">
        <v>0</v>
      </c>
      <c r="R13" s="13">
        <v>0</v>
      </c>
      <c r="S13" s="13">
        <v>1</v>
      </c>
      <c r="T13" s="13">
        <f t="shared" si="0"/>
        <v>31</v>
      </c>
      <c r="U13" s="13" t="s">
        <v>238</v>
      </c>
    </row>
    <row r="14" spans="1:21" ht="15" customHeight="1" x14ac:dyDescent="0.25">
      <c r="A14" s="5" t="str">
        <f>("362")</f>
        <v>362</v>
      </c>
      <c r="B14" s="6" t="s">
        <v>146</v>
      </c>
      <c r="C14" s="6" t="s">
        <v>147</v>
      </c>
      <c r="D14" s="5" t="str">
        <f>("90799")</f>
        <v>90799</v>
      </c>
      <c r="E14" s="6" t="s">
        <v>34</v>
      </c>
      <c r="F14" s="6" t="s">
        <v>148</v>
      </c>
      <c r="G14" s="11" t="s">
        <v>121</v>
      </c>
      <c r="H14" s="13">
        <v>0</v>
      </c>
      <c r="I14" s="13">
        <v>2</v>
      </c>
      <c r="J14" s="13">
        <v>0</v>
      </c>
      <c r="K14" s="13">
        <v>6</v>
      </c>
      <c r="L14" s="13">
        <v>1</v>
      </c>
      <c r="M14" s="13">
        <v>10</v>
      </c>
      <c r="N14" s="13">
        <v>9</v>
      </c>
      <c r="O14" s="13">
        <v>1</v>
      </c>
      <c r="P14" s="13">
        <v>1</v>
      </c>
      <c r="Q14" s="13">
        <v>1</v>
      </c>
      <c r="R14" s="13">
        <v>0</v>
      </c>
      <c r="S14" s="13">
        <v>6</v>
      </c>
      <c r="T14" s="13">
        <f t="shared" si="0"/>
        <v>37</v>
      </c>
      <c r="U14" s="13" t="s">
        <v>239</v>
      </c>
    </row>
    <row r="15" spans="1:21" ht="15" customHeight="1" x14ac:dyDescent="0.25">
      <c r="A15" s="5">
        <v>803</v>
      </c>
      <c r="B15" s="6" t="s">
        <v>211</v>
      </c>
      <c r="C15" s="6" t="s">
        <v>212</v>
      </c>
      <c r="D15" s="5">
        <v>130274</v>
      </c>
      <c r="E15" s="6" t="s">
        <v>34</v>
      </c>
      <c r="F15" s="6" t="s">
        <v>213</v>
      </c>
      <c r="G15" s="11" t="s">
        <v>166</v>
      </c>
      <c r="H15" s="13">
        <v>1</v>
      </c>
      <c r="I15" s="13">
        <v>6</v>
      </c>
      <c r="J15" s="13">
        <v>5</v>
      </c>
      <c r="K15" s="13">
        <v>6</v>
      </c>
      <c r="L15" s="13">
        <v>0</v>
      </c>
      <c r="M15" s="13">
        <v>3</v>
      </c>
      <c r="N15" s="13">
        <v>9</v>
      </c>
      <c r="O15" s="13">
        <v>4</v>
      </c>
      <c r="P15" s="13">
        <v>1</v>
      </c>
      <c r="Q15" s="13">
        <v>0</v>
      </c>
      <c r="R15" s="13">
        <v>1</v>
      </c>
      <c r="S15" s="13">
        <v>2</v>
      </c>
      <c r="T15" s="13">
        <f t="shared" si="0"/>
        <v>38</v>
      </c>
      <c r="U15" s="13" t="s">
        <v>240</v>
      </c>
    </row>
    <row r="16" spans="1:21" ht="15" customHeight="1" x14ac:dyDescent="0.25">
      <c r="A16" s="5" t="str">
        <f>("577")</f>
        <v>577</v>
      </c>
      <c r="B16" s="6" t="s">
        <v>73</v>
      </c>
      <c r="C16" s="6" t="s">
        <v>179</v>
      </c>
      <c r="D16" s="5" t="str">
        <f>("154356")</f>
        <v>154356</v>
      </c>
      <c r="E16" s="6" t="s">
        <v>34</v>
      </c>
      <c r="F16" s="6" t="s">
        <v>180</v>
      </c>
      <c r="G16" s="11" t="s">
        <v>12</v>
      </c>
      <c r="H16" s="13">
        <v>0</v>
      </c>
      <c r="I16" s="13">
        <v>3</v>
      </c>
      <c r="J16" s="13">
        <v>5</v>
      </c>
      <c r="K16" s="13">
        <v>6</v>
      </c>
      <c r="L16" s="13">
        <v>1</v>
      </c>
      <c r="M16" s="13">
        <v>4</v>
      </c>
      <c r="N16" s="13">
        <v>8</v>
      </c>
      <c r="O16" s="13">
        <v>4</v>
      </c>
      <c r="P16" s="13">
        <v>1</v>
      </c>
      <c r="Q16" s="13">
        <v>3</v>
      </c>
      <c r="R16" s="13">
        <v>0</v>
      </c>
      <c r="S16" s="13">
        <v>4</v>
      </c>
      <c r="T16" s="13">
        <f t="shared" si="0"/>
        <v>39</v>
      </c>
      <c r="U16" s="13" t="s">
        <v>241</v>
      </c>
    </row>
    <row r="17" spans="1:22" ht="15" customHeight="1" x14ac:dyDescent="0.25">
      <c r="A17" s="5">
        <v>800</v>
      </c>
      <c r="B17" s="6" t="s">
        <v>201</v>
      </c>
      <c r="C17" s="6" t="s">
        <v>197</v>
      </c>
      <c r="D17" s="5">
        <v>20229</v>
      </c>
      <c r="E17" s="6" t="s">
        <v>34</v>
      </c>
      <c r="F17" s="6" t="s">
        <v>24</v>
      </c>
      <c r="G17" s="11" t="s">
        <v>12</v>
      </c>
      <c r="H17" s="13">
        <v>0</v>
      </c>
      <c r="I17" s="13">
        <v>2</v>
      </c>
      <c r="J17" s="13">
        <v>4</v>
      </c>
      <c r="K17" s="13">
        <v>5</v>
      </c>
      <c r="L17" s="13">
        <v>1</v>
      </c>
      <c r="M17" s="13">
        <v>12</v>
      </c>
      <c r="N17" s="13">
        <v>7</v>
      </c>
      <c r="O17" s="13">
        <v>3</v>
      </c>
      <c r="P17" s="13">
        <v>1</v>
      </c>
      <c r="Q17" s="13">
        <v>0</v>
      </c>
      <c r="R17" s="13">
        <v>5</v>
      </c>
      <c r="S17" s="13">
        <v>0</v>
      </c>
      <c r="T17" s="13">
        <f t="shared" si="0"/>
        <v>40</v>
      </c>
      <c r="U17" s="13" t="s">
        <v>242</v>
      </c>
    </row>
    <row r="18" spans="1:22" ht="15" customHeight="1" x14ac:dyDescent="0.25">
      <c r="A18" s="5" t="str">
        <f>("113")</f>
        <v>113</v>
      </c>
      <c r="B18" s="6" t="s">
        <v>40</v>
      </c>
      <c r="C18" s="6" t="s">
        <v>95</v>
      </c>
      <c r="D18" s="5" t="str">
        <f>("31941")</f>
        <v>31941</v>
      </c>
      <c r="E18" s="6" t="s">
        <v>34</v>
      </c>
      <c r="F18" s="6" t="s">
        <v>96</v>
      </c>
      <c r="G18" s="11" t="s">
        <v>12</v>
      </c>
      <c r="H18" s="13">
        <v>0</v>
      </c>
      <c r="I18" s="13">
        <v>3</v>
      </c>
      <c r="J18" s="13">
        <v>5</v>
      </c>
      <c r="K18" s="13">
        <v>9</v>
      </c>
      <c r="L18" s="13">
        <v>2</v>
      </c>
      <c r="M18" s="13">
        <v>11</v>
      </c>
      <c r="N18" s="13">
        <v>5</v>
      </c>
      <c r="O18" s="13">
        <v>3</v>
      </c>
      <c r="P18" s="13">
        <v>0</v>
      </c>
      <c r="Q18" s="13">
        <v>1</v>
      </c>
      <c r="R18" s="13">
        <v>0</v>
      </c>
      <c r="S18" s="13">
        <v>7</v>
      </c>
      <c r="T18" s="13">
        <f t="shared" si="0"/>
        <v>46</v>
      </c>
      <c r="U18" s="13" t="s">
        <v>243</v>
      </c>
    </row>
    <row r="19" spans="1:22" ht="15" customHeight="1" x14ac:dyDescent="0.25">
      <c r="A19" s="5" t="str">
        <f>("475")</f>
        <v>475</v>
      </c>
      <c r="B19" s="6" t="s">
        <v>169</v>
      </c>
      <c r="C19" s="6" t="s">
        <v>105</v>
      </c>
      <c r="D19" s="5" t="str">
        <f>("127275")</f>
        <v>127275</v>
      </c>
      <c r="E19" s="6" t="s">
        <v>34</v>
      </c>
      <c r="F19" s="6" t="s">
        <v>170</v>
      </c>
      <c r="G19" s="11" t="s">
        <v>121</v>
      </c>
      <c r="H19" s="13">
        <v>2</v>
      </c>
      <c r="I19" s="13">
        <v>2</v>
      </c>
      <c r="J19" s="13">
        <v>10</v>
      </c>
      <c r="K19" s="13">
        <v>7</v>
      </c>
      <c r="L19" s="13">
        <v>1</v>
      </c>
      <c r="M19" s="13">
        <v>5</v>
      </c>
      <c r="N19" s="13">
        <v>4</v>
      </c>
      <c r="O19" s="13">
        <v>5</v>
      </c>
      <c r="P19" s="13">
        <v>5</v>
      </c>
      <c r="Q19" s="13">
        <v>0</v>
      </c>
      <c r="R19" s="13">
        <v>0</v>
      </c>
      <c r="S19" s="13">
        <v>6</v>
      </c>
      <c r="T19" s="13">
        <f t="shared" si="0"/>
        <v>47</v>
      </c>
      <c r="U19" s="13" t="s">
        <v>244</v>
      </c>
    </row>
    <row r="20" spans="1:22" ht="15" customHeight="1" x14ac:dyDescent="0.25">
      <c r="A20" s="5" t="str">
        <f>("400")</f>
        <v>400</v>
      </c>
      <c r="B20" s="6" t="s">
        <v>126</v>
      </c>
      <c r="C20" s="6" t="s">
        <v>152</v>
      </c>
      <c r="D20" s="5" t="str">
        <f>("192307")</f>
        <v>192307</v>
      </c>
      <c r="E20" s="6" t="s">
        <v>34</v>
      </c>
      <c r="F20" s="6" t="s">
        <v>153</v>
      </c>
      <c r="G20" s="11" t="s">
        <v>154</v>
      </c>
      <c r="H20" s="13">
        <v>8</v>
      </c>
      <c r="I20" s="13">
        <v>2</v>
      </c>
      <c r="J20" s="13">
        <v>13</v>
      </c>
      <c r="K20" s="13">
        <v>7</v>
      </c>
      <c r="L20" s="13">
        <v>6</v>
      </c>
      <c r="M20" s="13">
        <v>12</v>
      </c>
      <c r="N20" s="13">
        <v>6</v>
      </c>
      <c r="O20" s="13">
        <v>3</v>
      </c>
      <c r="P20" s="13">
        <v>0</v>
      </c>
      <c r="Q20" s="13">
        <v>0</v>
      </c>
      <c r="R20" s="13">
        <v>1</v>
      </c>
      <c r="S20" s="13">
        <v>11</v>
      </c>
      <c r="T20" s="13">
        <f t="shared" si="0"/>
        <v>69</v>
      </c>
      <c r="U20" s="13" t="s">
        <v>245</v>
      </c>
    </row>
    <row r="21" spans="1:22" ht="15" customHeight="1" x14ac:dyDescent="0.25">
      <c r="A21" s="5" t="str">
        <f>("110")</f>
        <v>110</v>
      </c>
      <c r="B21" s="6" t="s">
        <v>93</v>
      </c>
      <c r="C21" s="6" t="s">
        <v>91</v>
      </c>
      <c r="D21" s="5" t="str">
        <f>("87403")</f>
        <v>87403</v>
      </c>
      <c r="E21" s="6" t="s">
        <v>34</v>
      </c>
      <c r="F21" s="6" t="s">
        <v>94</v>
      </c>
      <c r="G21" s="11" t="s">
        <v>12</v>
      </c>
      <c r="H21" s="13">
        <v>11</v>
      </c>
      <c r="I21" s="13">
        <v>6</v>
      </c>
      <c r="J21" s="13">
        <v>11</v>
      </c>
      <c r="K21" s="13">
        <v>7</v>
      </c>
      <c r="L21" s="13">
        <v>6</v>
      </c>
      <c r="M21" s="13">
        <v>5</v>
      </c>
      <c r="N21" s="13">
        <v>9</v>
      </c>
      <c r="O21" s="13">
        <v>2</v>
      </c>
      <c r="P21" s="13">
        <v>2</v>
      </c>
      <c r="Q21" s="13">
        <v>0</v>
      </c>
      <c r="R21" s="13">
        <v>1</v>
      </c>
      <c r="S21" s="13">
        <v>11</v>
      </c>
      <c r="T21" s="13">
        <f t="shared" si="0"/>
        <v>71</v>
      </c>
      <c r="U21" s="13" t="s">
        <v>246</v>
      </c>
    </row>
    <row r="22" spans="1:22" ht="15" customHeight="1" x14ac:dyDescent="0.25">
      <c r="A22" s="5" t="str">
        <f>("188")</f>
        <v>188</v>
      </c>
      <c r="B22" s="6" t="s">
        <v>111</v>
      </c>
      <c r="C22" s="6" t="s">
        <v>112</v>
      </c>
      <c r="D22" s="5" t="str">
        <f>("151543")</f>
        <v>151543</v>
      </c>
      <c r="E22" s="6" t="s">
        <v>34</v>
      </c>
      <c r="F22" s="6" t="s">
        <v>24</v>
      </c>
      <c r="G22" s="11" t="s">
        <v>12</v>
      </c>
      <c r="H22" s="13">
        <v>5</v>
      </c>
      <c r="I22" s="13">
        <v>11</v>
      </c>
      <c r="J22" s="13">
        <v>13</v>
      </c>
      <c r="K22" s="13">
        <v>6</v>
      </c>
      <c r="L22" s="13">
        <v>5</v>
      </c>
      <c r="M22" s="13">
        <v>6</v>
      </c>
      <c r="N22" s="13">
        <v>7</v>
      </c>
      <c r="O22" s="13">
        <v>7</v>
      </c>
      <c r="P22" s="13">
        <v>6</v>
      </c>
      <c r="Q22" s="13">
        <v>2</v>
      </c>
      <c r="R22" s="13">
        <v>1</v>
      </c>
      <c r="S22" s="13">
        <v>5</v>
      </c>
      <c r="T22" s="13">
        <f t="shared" si="0"/>
        <v>74</v>
      </c>
      <c r="U22" s="13" t="s">
        <v>247</v>
      </c>
    </row>
    <row r="23" spans="1:22" ht="15" customHeight="1" x14ac:dyDescent="0.25">
      <c r="A23" s="5" t="str">
        <f>("69")</f>
        <v>69</v>
      </c>
      <c r="B23" s="6" t="s">
        <v>76</v>
      </c>
      <c r="C23" s="6" t="s">
        <v>60</v>
      </c>
      <c r="D23" s="5" t="str">
        <f>("181642")</f>
        <v>181642</v>
      </c>
      <c r="E23" s="6" t="s">
        <v>34</v>
      </c>
      <c r="F23" s="6" t="s">
        <v>72</v>
      </c>
      <c r="G23" s="11" t="s">
        <v>12</v>
      </c>
      <c r="H23" s="13">
        <v>6</v>
      </c>
      <c r="I23" s="13">
        <v>10</v>
      </c>
      <c r="J23" s="13">
        <v>13</v>
      </c>
      <c r="K23" s="13">
        <v>9</v>
      </c>
      <c r="L23" s="13">
        <v>9</v>
      </c>
      <c r="M23" s="13">
        <v>15</v>
      </c>
      <c r="N23" s="13">
        <v>5</v>
      </c>
      <c r="O23" s="13">
        <v>1</v>
      </c>
      <c r="P23" s="13">
        <v>8</v>
      </c>
      <c r="Q23" s="13">
        <v>5</v>
      </c>
      <c r="R23" s="13">
        <v>1</v>
      </c>
      <c r="S23" s="13">
        <v>9</v>
      </c>
      <c r="T23" s="13">
        <f t="shared" si="0"/>
        <v>91</v>
      </c>
      <c r="U23" s="13" t="s">
        <v>248</v>
      </c>
    </row>
    <row r="24" spans="1:22" ht="15" customHeight="1" x14ac:dyDescent="0.25">
      <c r="A24" s="5" t="str">
        <f>("26")</f>
        <v>26</v>
      </c>
      <c r="B24" s="6" t="s">
        <v>33</v>
      </c>
      <c r="C24" s="6" t="s">
        <v>18</v>
      </c>
      <c r="D24" s="5" t="str">
        <f>("129780")</f>
        <v>129780</v>
      </c>
      <c r="E24" s="6" t="s">
        <v>34</v>
      </c>
      <c r="F24" s="6" t="s">
        <v>35</v>
      </c>
      <c r="G24" s="11" t="s">
        <v>12</v>
      </c>
      <c r="H24" s="13" t="s">
        <v>230</v>
      </c>
      <c r="I24" s="13" t="s">
        <v>230</v>
      </c>
      <c r="J24" s="13" t="s">
        <v>230</v>
      </c>
      <c r="K24" s="13" t="s">
        <v>230</v>
      </c>
      <c r="L24" s="13" t="s">
        <v>230</v>
      </c>
      <c r="M24" s="13" t="s">
        <v>230</v>
      </c>
      <c r="N24" s="13" t="s">
        <v>230</v>
      </c>
      <c r="O24" s="13" t="s">
        <v>230</v>
      </c>
      <c r="P24" s="13" t="s">
        <v>230</v>
      </c>
      <c r="Q24" s="13" t="s">
        <v>230</v>
      </c>
      <c r="R24" s="13" t="s">
        <v>230</v>
      </c>
      <c r="S24" s="13" t="s">
        <v>230</v>
      </c>
      <c r="T24" s="13" t="s">
        <v>230</v>
      </c>
      <c r="U24" s="13" t="s">
        <v>230</v>
      </c>
    </row>
    <row r="25" spans="1:22" ht="15" customHeight="1" x14ac:dyDescent="0.25">
      <c r="A25" s="5" t="str">
        <f>("307")</f>
        <v>307</v>
      </c>
      <c r="B25" s="6" t="s">
        <v>139</v>
      </c>
      <c r="C25" s="6" t="s">
        <v>140</v>
      </c>
      <c r="D25" s="5" t="str">
        <f>("181769")</f>
        <v>181769</v>
      </c>
      <c r="E25" s="6" t="s">
        <v>34</v>
      </c>
      <c r="F25" s="6" t="s">
        <v>20</v>
      </c>
      <c r="G25" s="11" t="s">
        <v>12</v>
      </c>
      <c r="H25" s="13" t="s">
        <v>230</v>
      </c>
      <c r="I25" s="13" t="s">
        <v>230</v>
      </c>
      <c r="J25" s="13" t="s">
        <v>230</v>
      </c>
      <c r="K25" s="13" t="s">
        <v>230</v>
      </c>
      <c r="L25" s="13" t="s">
        <v>230</v>
      </c>
      <c r="M25" s="13" t="s">
        <v>230</v>
      </c>
      <c r="N25" s="13" t="s">
        <v>230</v>
      </c>
      <c r="O25" s="13" t="s">
        <v>230</v>
      </c>
      <c r="P25" s="13" t="s">
        <v>230</v>
      </c>
      <c r="Q25" s="13" t="s">
        <v>230</v>
      </c>
      <c r="R25" s="13" t="s">
        <v>230</v>
      </c>
      <c r="S25" s="13" t="s">
        <v>230</v>
      </c>
      <c r="T25" s="13" t="s">
        <v>230</v>
      </c>
      <c r="U25" s="13" t="s">
        <v>230</v>
      </c>
      <c r="V25" t="s">
        <v>186</v>
      </c>
    </row>
    <row r="26" spans="1:22" ht="15" customHeight="1" x14ac:dyDescent="0.25">
      <c r="A26" s="5"/>
      <c r="B26" s="6"/>
      <c r="C26" s="6"/>
      <c r="D26" s="5"/>
      <c r="E26" s="6"/>
      <c r="F26" s="6"/>
      <c r="G26" s="11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2" ht="15" customHeight="1" x14ac:dyDescent="0.25">
      <c r="A27" s="5" t="str">
        <f>("381")</f>
        <v>381</v>
      </c>
      <c r="B27" s="6" t="s">
        <v>59</v>
      </c>
      <c r="C27" s="6" t="s">
        <v>149</v>
      </c>
      <c r="D27" s="5" t="str">
        <f>("89770")</f>
        <v>89770</v>
      </c>
      <c r="E27" s="6" t="s">
        <v>120</v>
      </c>
      <c r="F27" s="6" t="s">
        <v>106</v>
      </c>
      <c r="G27" s="11" t="s">
        <v>121</v>
      </c>
      <c r="H27" s="13">
        <v>3</v>
      </c>
      <c r="I27" s="13">
        <v>0</v>
      </c>
      <c r="J27" s="13">
        <v>2</v>
      </c>
      <c r="K27" s="13">
        <v>2</v>
      </c>
      <c r="L27" s="13">
        <v>0</v>
      </c>
      <c r="M27" s="13">
        <v>1</v>
      </c>
      <c r="N27" s="13">
        <v>3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f>SUM(H27:S27)</f>
        <v>11</v>
      </c>
      <c r="U27" s="13" t="s">
        <v>233</v>
      </c>
    </row>
    <row r="28" spans="1:22" ht="15" customHeight="1" x14ac:dyDescent="0.25">
      <c r="A28" s="5" t="str">
        <f>("226")</f>
        <v>226</v>
      </c>
      <c r="B28" s="6" t="s">
        <v>37</v>
      </c>
      <c r="C28" s="6" t="s">
        <v>124</v>
      </c>
      <c r="D28" s="5" t="str">
        <f>("151165")</f>
        <v>151165</v>
      </c>
      <c r="E28" s="6" t="s">
        <v>120</v>
      </c>
      <c r="F28" s="6" t="s">
        <v>20</v>
      </c>
      <c r="G28" s="11" t="s">
        <v>125</v>
      </c>
      <c r="H28" s="13">
        <v>1</v>
      </c>
      <c r="I28" s="13">
        <v>0</v>
      </c>
      <c r="J28" s="13">
        <v>0</v>
      </c>
      <c r="K28" s="13">
        <v>2</v>
      </c>
      <c r="L28" s="13">
        <v>0</v>
      </c>
      <c r="M28" s="13">
        <v>10</v>
      </c>
      <c r="N28" s="13">
        <v>5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>
        <f>SUM(H28:S28)</f>
        <v>19</v>
      </c>
      <c r="U28" s="13" t="s">
        <v>234</v>
      </c>
    </row>
    <row r="29" spans="1:22" ht="15" customHeight="1" x14ac:dyDescent="0.25">
      <c r="A29" s="5" t="str">
        <f>("221")</f>
        <v>221</v>
      </c>
      <c r="B29" s="6" t="s">
        <v>118</v>
      </c>
      <c r="C29" s="6" t="s">
        <v>119</v>
      </c>
      <c r="D29" s="5" t="str">
        <f>("29959")</f>
        <v>29959</v>
      </c>
      <c r="E29" s="6" t="s">
        <v>120</v>
      </c>
      <c r="F29" s="6" t="s">
        <v>81</v>
      </c>
      <c r="G29" s="11" t="s">
        <v>121</v>
      </c>
      <c r="H29" s="13">
        <v>4</v>
      </c>
      <c r="I29" s="13">
        <v>0</v>
      </c>
      <c r="J29" s="13">
        <v>1</v>
      </c>
      <c r="K29" s="13">
        <v>3</v>
      </c>
      <c r="L29" s="13">
        <v>0</v>
      </c>
      <c r="M29" s="13">
        <v>7</v>
      </c>
      <c r="N29" s="13">
        <v>4</v>
      </c>
      <c r="O29" s="13">
        <v>0</v>
      </c>
      <c r="P29" s="13">
        <v>0</v>
      </c>
      <c r="Q29" s="13">
        <v>0</v>
      </c>
      <c r="R29" s="13">
        <v>1</v>
      </c>
      <c r="S29" s="13">
        <v>1</v>
      </c>
      <c r="T29" s="13">
        <f>SUM(H29:S29)</f>
        <v>21</v>
      </c>
      <c r="U29" s="13" t="s">
        <v>235</v>
      </c>
    </row>
    <row r="30" spans="1:22" ht="15" customHeight="1" x14ac:dyDescent="0.25">
      <c r="A30" s="5">
        <v>218</v>
      </c>
      <c r="B30" s="6" t="s">
        <v>193</v>
      </c>
      <c r="C30" s="6" t="s">
        <v>194</v>
      </c>
      <c r="D30" s="5">
        <v>141469</v>
      </c>
      <c r="E30" s="6" t="s">
        <v>120</v>
      </c>
      <c r="F30" s="6" t="s">
        <v>195</v>
      </c>
      <c r="G30" s="11" t="s">
        <v>12</v>
      </c>
      <c r="H30" s="13">
        <v>1</v>
      </c>
      <c r="I30" s="13">
        <v>0</v>
      </c>
      <c r="J30" s="13">
        <v>3</v>
      </c>
      <c r="K30" s="13">
        <v>5</v>
      </c>
      <c r="L30" s="13">
        <v>0</v>
      </c>
      <c r="M30" s="13">
        <v>5</v>
      </c>
      <c r="N30" s="13">
        <v>1</v>
      </c>
      <c r="O30" s="13">
        <v>0</v>
      </c>
      <c r="P30" s="13">
        <v>0</v>
      </c>
      <c r="Q30" s="13">
        <v>5</v>
      </c>
      <c r="R30" s="13">
        <v>1</v>
      </c>
      <c r="S30" s="13">
        <v>5</v>
      </c>
      <c r="T30" s="13">
        <f>SUM(H30:S30)</f>
        <v>26</v>
      </c>
      <c r="U30" s="13" t="s">
        <v>236</v>
      </c>
    </row>
    <row r="31" spans="1:22" ht="15" customHeight="1" x14ac:dyDescent="0.25">
      <c r="A31" s="5">
        <v>251</v>
      </c>
      <c r="B31" s="6" t="s">
        <v>196</v>
      </c>
      <c r="C31" s="6" t="s">
        <v>197</v>
      </c>
      <c r="D31" s="5">
        <v>124707</v>
      </c>
      <c r="E31" s="6" t="s">
        <v>120</v>
      </c>
      <c r="F31" s="6" t="s">
        <v>106</v>
      </c>
      <c r="G31" s="11" t="s">
        <v>12</v>
      </c>
      <c r="H31" s="13">
        <v>5</v>
      </c>
      <c r="I31" s="13">
        <v>6</v>
      </c>
      <c r="J31" s="13">
        <v>13</v>
      </c>
      <c r="K31" s="13">
        <v>9</v>
      </c>
      <c r="L31" s="13">
        <v>8</v>
      </c>
      <c r="M31" s="13">
        <v>15</v>
      </c>
      <c r="N31" s="13">
        <v>11</v>
      </c>
      <c r="O31" s="13">
        <v>1</v>
      </c>
      <c r="P31" s="13">
        <v>3</v>
      </c>
      <c r="Q31" s="13">
        <v>0</v>
      </c>
      <c r="R31" s="13">
        <v>8</v>
      </c>
      <c r="S31" s="13">
        <v>15</v>
      </c>
      <c r="T31" s="13">
        <f>SUM(H31:S31)</f>
        <v>94</v>
      </c>
      <c r="U31" s="13" t="s">
        <v>237</v>
      </c>
    </row>
    <row r="32" spans="1:22" ht="15" customHeight="1" x14ac:dyDescent="0.25">
      <c r="A32" s="5"/>
      <c r="B32" s="6"/>
      <c r="C32" s="6"/>
      <c r="D32" s="5"/>
      <c r="E32" s="6"/>
      <c r="F32" s="6"/>
      <c r="G32" s="1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3" ht="15" customHeight="1" x14ac:dyDescent="0.25">
      <c r="A33" s="5" t="str">
        <f>("22")</f>
        <v>22</v>
      </c>
      <c r="B33" s="6" t="s">
        <v>27</v>
      </c>
      <c r="C33" s="6" t="s">
        <v>28</v>
      </c>
      <c r="D33" s="5" t="str">
        <f>("119604")</f>
        <v>119604</v>
      </c>
      <c r="E33" s="6" t="s">
        <v>29</v>
      </c>
      <c r="F33" s="6" t="s">
        <v>30</v>
      </c>
      <c r="G33" s="11" t="s">
        <v>31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f t="shared" ref="T33:T40" si="1">SUM(H33:S33)</f>
        <v>1</v>
      </c>
      <c r="U33" s="13" t="s">
        <v>233</v>
      </c>
    </row>
    <row r="34" spans="1:23" ht="15" customHeight="1" x14ac:dyDescent="0.25">
      <c r="A34" s="5">
        <v>272</v>
      </c>
      <c r="B34" s="6" t="s">
        <v>59</v>
      </c>
      <c r="C34" s="6" t="s">
        <v>198</v>
      </c>
      <c r="D34" s="5">
        <v>16235</v>
      </c>
      <c r="E34" s="6" t="s">
        <v>29</v>
      </c>
      <c r="F34" s="6" t="s">
        <v>199</v>
      </c>
      <c r="G34" s="11" t="s">
        <v>200</v>
      </c>
      <c r="H34" s="13">
        <v>0</v>
      </c>
      <c r="I34" s="13">
        <v>1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f t="shared" si="1"/>
        <v>3</v>
      </c>
      <c r="U34" s="13" t="s">
        <v>234</v>
      </c>
    </row>
    <row r="35" spans="1:23" ht="15" customHeight="1" x14ac:dyDescent="0.25">
      <c r="A35" s="5" t="str">
        <f>("486")</f>
        <v>486</v>
      </c>
      <c r="B35" s="6" t="s">
        <v>173</v>
      </c>
      <c r="C35" s="6" t="s">
        <v>174</v>
      </c>
      <c r="D35" s="5" t="str">
        <f>("195211")</f>
        <v>195211</v>
      </c>
      <c r="E35" s="6" t="s">
        <v>29</v>
      </c>
      <c r="F35" s="6" t="s">
        <v>153</v>
      </c>
      <c r="G35" s="11" t="s">
        <v>12</v>
      </c>
      <c r="H35" s="13">
        <v>0</v>
      </c>
      <c r="I35" s="13">
        <v>1</v>
      </c>
      <c r="J35" s="13">
        <v>0</v>
      </c>
      <c r="K35" s="13">
        <v>1</v>
      </c>
      <c r="L35" s="13">
        <v>0</v>
      </c>
      <c r="M35" s="13">
        <v>6</v>
      </c>
      <c r="N35" s="13">
        <v>1</v>
      </c>
      <c r="O35" s="13">
        <v>2</v>
      </c>
      <c r="P35" s="13">
        <v>0</v>
      </c>
      <c r="Q35" s="13">
        <v>0</v>
      </c>
      <c r="R35" s="13">
        <v>1</v>
      </c>
      <c r="S35" s="13">
        <v>0</v>
      </c>
      <c r="T35" s="13">
        <f t="shared" si="1"/>
        <v>12</v>
      </c>
      <c r="U35" s="13" t="s">
        <v>235</v>
      </c>
    </row>
    <row r="36" spans="1:23" ht="15" customHeight="1" x14ac:dyDescent="0.25">
      <c r="A36" s="5" t="str">
        <f>("484")</f>
        <v>484</v>
      </c>
      <c r="B36" s="6" t="s">
        <v>76</v>
      </c>
      <c r="C36" s="6" t="s">
        <v>171</v>
      </c>
      <c r="D36" s="5" t="str">
        <f>("116766")</f>
        <v>116766</v>
      </c>
      <c r="E36" s="6" t="s">
        <v>29</v>
      </c>
      <c r="F36" s="6" t="s">
        <v>172</v>
      </c>
      <c r="G36" s="11" t="s">
        <v>12</v>
      </c>
      <c r="H36" s="13">
        <v>1</v>
      </c>
      <c r="I36" s="13">
        <v>1</v>
      </c>
      <c r="J36" s="13">
        <v>0</v>
      </c>
      <c r="K36" s="13">
        <v>1</v>
      </c>
      <c r="L36" s="13">
        <v>0</v>
      </c>
      <c r="M36" s="13">
        <v>9</v>
      </c>
      <c r="N36" s="13">
        <v>2</v>
      </c>
      <c r="O36" s="13">
        <v>1</v>
      </c>
      <c r="P36" s="13">
        <v>0</v>
      </c>
      <c r="Q36" s="13">
        <v>0</v>
      </c>
      <c r="R36" s="13">
        <v>0</v>
      </c>
      <c r="S36" s="13">
        <v>1</v>
      </c>
      <c r="T36" s="13">
        <f t="shared" si="1"/>
        <v>16</v>
      </c>
      <c r="U36" s="13" t="s">
        <v>236</v>
      </c>
    </row>
    <row r="37" spans="1:23" ht="15" customHeight="1" x14ac:dyDescent="0.25">
      <c r="A37" s="5" t="str">
        <f>("250")</f>
        <v>250</v>
      </c>
      <c r="B37" s="6" t="s">
        <v>131</v>
      </c>
      <c r="C37" s="6" t="s">
        <v>132</v>
      </c>
      <c r="D37" s="5" t="str">
        <f>("11543")</f>
        <v>11543</v>
      </c>
      <c r="E37" s="6" t="s">
        <v>29</v>
      </c>
      <c r="F37" s="6" t="s">
        <v>72</v>
      </c>
      <c r="G37" s="11" t="s">
        <v>12</v>
      </c>
      <c r="H37" s="13">
        <v>2</v>
      </c>
      <c r="I37" s="13">
        <v>1</v>
      </c>
      <c r="J37" s="13">
        <v>1</v>
      </c>
      <c r="K37" s="13">
        <v>4</v>
      </c>
      <c r="L37" s="13">
        <v>0</v>
      </c>
      <c r="M37" s="13">
        <v>7</v>
      </c>
      <c r="N37" s="13">
        <v>3</v>
      </c>
      <c r="O37" s="13">
        <v>0</v>
      </c>
      <c r="P37" s="13">
        <v>0</v>
      </c>
      <c r="Q37" s="13">
        <v>0</v>
      </c>
      <c r="R37" s="13">
        <v>0</v>
      </c>
      <c r="S37" s="13">
        <v>1</v>
      </c>
      <c r="T37" s="13">
        <f t="shared" si="1"/>
        <v>19</v>
      </c>
      <c r="U37" s="13" t="s">
        <v>237</v>
      </c>
    </row>
    <row r="38" spans="1:23" ht="15" customHeight="1" x14ac:dyDescent="0.25">
      <c r="A38" s="5" t="str">
        <f>("27")</f>
        <v>27</v>
      </c>
      <c r="B38" s="6" t="s">
        <v>36</v>
      </c>
      <c r="C38" s="6" t="s">
        <v>37</v>
      </c>
      <c r="D38" s="5" t="str">
        <f>("82330")</f>
        <v>82330</v>
      </c>
      <c r="E38" s="6" t="s">
        <v>29</v>
      </c>
      <c r="F38" s="6" t="s">
        <v>38</v>
      </c>
      <c r="G38" s="11" t="s">
        <v>39</v>
      </c>
      <c r="H38" s="13">
        <v>1</v>
      </c>
      <c r="I38" s="13">
        <v>2</v>
      </c>
      <c r="J38" s="13">
        <v>0</v>
      </c>
      <c r="K38" s="13">
        <v>3</v>
      </c>
      <c r="L38" s="13">
        <v>6</v>
      </c>
      <c r="M38" s="13">
        <v>11</v>
      </c>
      <c r="N38" s="13">
        <v>1</v>
      </c>
      <c r="O38" s="13">
        <v>1</v>
      </c>
      <c r="P38" s="13">
        <v>0</v>
      </c>
      <c r="Q38" s="13">
        <v>0</v>
      </c>
      <c r="R38" s="13">
        <v>0</v>
      </c>
      <c r="S38" s="13">
        <v>3</v>
      </c>
      <c r="T38" s="13">
        <f t="shared" si="1"/>
        <v>28</v>
      </c>
      <c r="U38" s="13" t="s">
        <v>238</v>
      </c>
    </row>
    <row r="39" spans="1:23" ht="15" customHeight="1" x14ac:dyDescent="0.25">
      <c r="A39" s="5">
        <v>177</v>
      </c>
      <c r="B39" s="6" t="s">
        <v>99</v>
      </c>
      <c r="C39" s="6" t="s">
        <v>137</v>
      </c>
      <c r="D39" s="5">
        <v>106148</v>
      </c>
      <c r="E39" s="6" t="s">
        <v>29</v>
      </c>
      <c r="F39" s="6" t="s">
        <v>92</v>
      </c>
      <c r="G39" s="11" t="s">
        <v>12</v>
      </c>
      <c r="H39" s="13">
        <v>2</v>
      </c>
      <c r="I39" s="13">
        <v>1</v>
      </c>
      <c r="J39" s="13">
        <v>0</v>
      </c>
      <c r="K39" s="13">
        <v>4</v>
      </c>
      <c r="L39" s="13">
        <v>11</v>
      </c>
      <c r="M39" s="13">
        <v>9</v>
      </c>
      <c r="N39" s="13">
        <v>4</v>
      </c>
      <c r="O39" s="13">
        <v>5</v>
      </c>
      <c r="P39" s="13">
        <v>2</v>
      </c>
      <c r="Q39" s="13">
        <v>0</v>
      </c>
      <c r="R39" s="13">
        <v>5</v>
      </c>
      <c r="S39" s="13">
        <v>15</v>
      </c>
      <c r="T39" s="13">
        <f t="shared" si="1"/>
        <v>58</v>
      </c>
      <c r="U39" s="13" t="s">
        <v>239</v>
      </c>
    </row>
    <row r="40" spans="1:23" ht="15" customHeight="1" x14ac:dyDescent="0.25">
      <c r="A40" s="5" t="str">
        <f>("187")</f>
        <v>187</v>
      </c>
      <c r="B40" s="6" t="s">
        <v>109</v>
      </c>
      <c r="C40" s="6" t="s">
        <v>110</v>
      </c>
      <c r="D40" s="5" t="str">
        <f>("199712")</f>
        <v>199712</v>
      </c>
      <c r="E40" s="6" t="s">
        <v>29</v>
      </c>
      <c r="F40" s="6" t="s">
        <v>72</v>
      </c>
      <c r="G40" s="11" t="s">
        <v>12</v>
      </c>
      <c r="H40" s="13">
        <v>11</v>
      </c>
      <c r="I40" s="13">
        <v>13</v>
      </c>
      <c r="J40" s="13">
        <v>12</v>
      </c>
      <c r="K40" s="13">
        <v>8</v>
      </c>
      <c r="L40" s="13">
        <v>5</v>
      </c>
      <c r="M40" s="13">
        <v>3</v>
      </c>
      <c r="N40" s="13">
        <v>4</v>
      </c>
      <c r="O40" s="13">
        <v>8</v>
      </c>
      <c r="P40" s="13">
        <v>1</v>
      </c>
      <c r="Q40" s="13">
        <v>1</v>
      </c>
      <c r="R40" s="13">
        <v>2</v>
      </c>
      <c r="S40" s="13">
        <v>4</v>
      </c>
      <c r="T40" s="13">
        <f t="shared" si="1"/>
        <v>72</v>
      </c>
      <c r="U40" s="13" t="s">
        <v>240</v>
      </c>
    </row>
    <row r="41" spans="1:23" ht="15" customHeight="1" x14ac:dyDescent="0.25">
      <c r="A41" s="5"/>
      <c r="B41" s="6"/>
      <c r="C41" s="6"/>
      <c r="D41" s="5"/>
      <c r="E41" s="6"/>
      <c r="F41" s="6"/>
      <c r="G41" s="11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3" ht="15" customHeight="1" x14ac:dyDescent="0.25">
      <c r="A42" s="5" t="str">
        <f>("32")</f>
        <v>32</v>
      </c>
      <c r="B42" s="6" t="s">
        <v>49</v>
      </c>
      <c r="C42" s="6" t="s">
        <v>50</v>
      </c>
      <c r="D42" s="5" t="str">
        <f>("177124")</f>
        <v>177124</v>
      </c>
      <c r="E42" s="6" t="s">
        <v>51</v>
      </c>
      <c r="F42" s="6" t="s">
        <v>52</v>
      </c>
      <c r="G42" s="11" t="s">
        <v>53</v>
      </c>
      <c r="H42" s="13">
        <v>1</v>
      </c>
      <c r="I42" s="13">
        <v>4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f>SUM(H42:S42)</f>
        <v>6</v>
      </c>
      <c r="U42" s="13" t="s">
        <v>233</v>
      </c>
    </row>
    <row r="43" spans="1:23" s="19" customFormat="1" ht="15" customHeight="1" x14ac:dyDescent="0.25">
      <c r="A43" s="5" t="str">
        <f>("78")</f>
        <v>78</v>
      </c>
      <c r="B43" s="6" t="s">
        <v>79</v>
      </c>
      <c r="C43" s="6" t="s">
        <v>80</v>
      </c>
      <c r="D43" s="5" t="str">
        <f>("30980")</f>
        <v>30980</v>
      </c>
      <c r="E43" s="6" t="s">
        <v>51</v>
      </c>
      <c r="F43" s="6" t="s">
        <v>81</v>
      </c>
      <c r="G43" s="11" t="s">
        <v>12</v>
      </c>
      <c r="H43" s="13">
        <v>1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4</v>
      </c>
      <c r="O43" s="13">
        <v>2</v>
      </c>
      <c r="P43" s="13">
        <v>0</v>
      </c>
      <c r="Q43" s="13">
        <v>0</v>
      </c>
      <c r="R43" s="13">
        <v>1</v>
      </c>
      <c r="S43" s="13">
        <v>1</v>
      </c>
      <c r="T43" s="13">
        <f>SUM(H43:S43)</f>
        <v>10</v>
      </c>
      <c r="U43" s="13" t="s">
        <v>234</v>
      </c>
      <c r="V43"/>
      <c r="W43"/>
    </row>
    <row r="44" spans="1:23" ht="15" customHeight="1" x14ac:dyDescent="0.25">
      <c r="A44" s="15">
        <v>801</v>
      </c>
      <c r="B44" s="16" t="s">
        <v>126</v>
      </c>
      <c r="C44" s="16" t="s">
        <v>202</v>
      </c>
      <c r="D44" s="15">
        <v>73859</v>
      </c>
      <c r="E44" s="16" t="s">
        <v>51</v>
      </c>
      <c r="F44" s="16" t="s">
        <v>75</v>
      </c>
      <c r="G44" s="17" t="s">
        <v>203</v>
      </c>
      <c r="H44" s="18">
        <v>5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1</v>
      </c>
      <c r="Q44" s="18">
        <v>2</v>
      </c>
      <c r="R44" s="18">
        <v>2</v>
      </c>
      <c r="S44" s="18">
        <v>0</v>
      </c>
      <c r="T44" s="18">
        <f>SUM(H44:S44)</f>
        <v>11</v>
      </c>
      <c r="U44" s="18" t="s">
        <v>235</v>
      </c>
      <c r="V44" s="19"/>
      <c r="W44" s="19"/>
    </row>
    <row r="45" spans="1:23" ht="15" customHeight="1" x14ac:dyDescent="0.25">
      <c r="A45" s="5" t="str">
        <f>("29")</f>
        <v>29</v>
      </c>
      <c r="B45" s="6" t="s">
        <v>44</v>
      </c>
      <c r="C45" s="6" t="s">
        <v>45</v>
      </c>
      <c r="D45" s="5" t="str">
        <f>("191463")</f>
        <v>191463</v>
      </c>
      <c r="E45" s="6" t="s">
        <v>51</v>
      </c>
      <c r="F45" s="6" t="s">
        <v>20</v>
      </c>
      <c r="G45" s="11" t="s">
        <v>12</v>
      </c>
      <c r="H45" s="13">
        <v>5</v>
      </c>
      <c r="I45" s="13">
        <v>6</v>
      </c>
      <c r="J45" s="13">
        <v>10</v>
      </c>
      <c r="K45" s="13">
        <v>0</v>
      </c>
      <c r="L45" s="13">
        <v>5</v>
      </c>
      <c r="M45" s="13">
        <v>5</v>
      </c>
      <c r="N45" s="13">
        <v>5</v>
      </c>
      <c r="O45" s="13">
        <v>11</v>
      </c>
      <c r="P45" s="13">
        <v>2</v>
      </c>
      <c r="Q45" s="13">
        <v>2</v>
      </c>
      <c r="R45" s="13">
        <v>6</v>
      </c>
      <c r="S45" s="13">
        <v>6</v>
      </c>
      <c r="T45" s="13">
        <f>SUM(H45:S45)</f>
        <v>63</v>
      </c>
      <c r="U45" s="13" t="s">
        <v>236</v>
      </c>
    </row>
    <row r="46" spans="1:23" ht="15" customHeight="1" x14ac:dyDescent="0.25">
      <c r="A46" s="5" t="str">
        <f>("470")</f>
        <v>470</v>
      </c>
      <c r="B46" s="6" t="s">
        <v>126</v>
      </c>
      <c r="C46" s="6" t="s">
        <v>167</v>
      </c>
      <c r="D46" s="5" t="str">
        <f>("209762")</f>
        <v>209762</v>
      </c>
      <c r="E46" s="6" t="s">
        <v>51</v>
      </c>
      <c r="F46" s="6" t="s">
        <v>168</v>
      </c>
      <c r="G46" s="11" t="s">
        <v>12</v>
      </c>
      <c r="H46" s="13" t="s">
        <v>230</v>
      </c>
      <c r="I46" s="13" t="s">
        <v>230</v>
      </c>
      <c r="J46" s="13" t="s">
        <v>230</v>
      </c>
      <c r="K46" s="13" t="s">
        <v>230</v>
      </c>
      <c r="L46" s="13" t="s">
        <v>230</v>
      </c>
      <c r="M46" s="13" t="s">
        <v>230</v>
      </c>
      <c r="N46" s="13" t="s">
        <v>230</v>
      </c>
      <c r="O46" s="13" t="s">
        <v>230</v>
      </c>
      <c r="P46" s="13" t="s">
        <v>230</v>
      </c>
      <c r="Q46" s="13" t="s">
        <v>230</v>
      </c>
      <c r="R46" s="13" t="s">
        <v>230</v>
      </c>
      <c r="S46" s="13" t="s">
        <v>230</v>
      </c>
      <c r="T46" s="13" t="s">
        <v>230</v>
      </c>
      <c r="U46" s="13" t="s">
        <v>230</v>
      </c>
    </row>
    <row r="47" spans="1:23" ht="15" customHeight="1" x14ac:dyDescent="0.25">
      <c r="A47" s="5" t="str">
        <f>("248")</f>
        <v>248</v>
      </c>
      <c r="B47" s="6" t="s">
        <v>90</v>
      </c>
      <c r="C47" s="6" t="s">
        <v>130</v>
      </c>
      <c r="D47" s="5" t="str">
        <f>("164523")</f>
        <v>164523</v>
      </c>
      <c r="E47" s="6" t="s">
        <v>51</v>
      </c>
      <c r="F47" s="6" t="s">
        <v>89</v>
      </c>
      <c r="G47" s="11" t="s">
        <v>12</v>
      </c>
      <c r="H47" s="13" t="s">
        <v>230</v>
      </c>
      <c r="I47" s="13" t="s">
        <v>230</v>
      </c>
      <c r="J47" s="13" t="s">
        <v>230</v>
      </c>
      <c r="K47" s="13" t="s">
        <v>230</v>
      </c>
      <c r="L47" s="13" t="s">
        <v>230</v>
      </c>
      <c r="M47" s="13" t="s">
        <v>230</v>
      </c>
      <c r="N47" s="13" t="s">
        <v>230</v>
      </c>
      <c r="O47" s="13" t="s">
        <v>230</v>
      </c>
      <c r="P47" s="13" t="s">
        <v>230</v>
      </c>
      <c r="Q47" s="13" t="s">
        <v>230</v>
      </c>
      <c r="R47" s="13" t="s">
        <v>230</v>
      </c>
      <c r="S47" s="13" t="s">
        <v>230</v>
      </c>
      <c r="T47" s="13" t="s">
        <v>230</v>
      </c>
      <c r="U47" s="13" t="s">
        <v>230</v>
      </c>
      <c r="V47" t="s">
        <v>186</v>
      </c>
    </row>
    <row r="48" spans="1:23" ht="15" customHeight="1" x14ac:dyDescent="0.25">
      <c r="A48" s="5" t="str">
        <f>("404")</f>
        <v>404</v>
      </c>
      <c r="B48" s="6" t="s">
        <v>160</v>
      </c>
      <c r="C48" s="6" t="s">
        <v>159</v>
      </c>
      <c r="D48" s="5" t="str">
        <f>("147385")</f>
        <v>147385</v>
      </c>
      <c r="E48" s="6" t="s">
        <v>51</v>
      </c>
      <c r="F48" s="6" t="s">
        <v>161</v>
      </c>
      <c r="G48" s="11" t="s">
        <v>12</v>
      </c>
      <c r="H48" s="13" t="s">
        <v>230</v>
      </c>
      <c r="I48" s="13" t="s">
        <v>230</v>
      </c>
      <c r="J48" s="13" t="s">
        <v>230</v>
      </c>
      <c r="K48" s="13" t="s">
        <v>230</v>
      </c>
      <c r="L48" s="13" t="s">
        <v>230</v>
      </c>
      <c r="M48" s="13" t="s">
        <v>230</v>
      </c>
      <c r="N48" s="13" t="s">
        <v>230</v>
      </c>
      <c r="O48" s="13" t="s">
        <v>230</v>
      </c>
      <c r="P48" s="13" t="s">
        <v>230</v>
      </c>
      <c r="Q48" s="13" t="s">
        <v>230</v>
      </c>
      <c r="R48" s="13" t="s">
        <v>230</v>
      </c>
      <c r="S48" s="13" t="s">
        <v>230</v>
      </c>
      <c r="T48" s="13" t="s">
        <v>230</v>
      </c>
      <c r="U48" s="13" t="s">
        <v>230</v>
      </c>
      <c r="V48" t="s">
        <v>186</v>
      </c>
    </row>
    <row r="49" spans="1:23" ht="15" customHeight="1" x14ac:dyDescent="0.25">
      <c r="A49" s="5"/>
      <c r="B49" s="6"/>
      <c r="C49" s="6"/>
      <c r="D49" s="5"/>
      <c r="E49" s="6"/>
      <c r="F49" s="6"/>
      <c r="G49" s="11"/>
      <c r="H49" s="13" t="s">
        <v>186</v>
      </c>
      <c r="I49" s="13" t="s">
        <v>186</v>
      </c>
      <c r="J49" s="13" t="s">
        <v>186</v>
      </c>
      <c r="K49" s="13" t="s">
        <v>186</v>
      </c>
      <c r="L49" s="13" t="s">
        <v>186</v>
      </c>
      <c r="M49" s="13" t="s">
        <v>186</v>
      </c>
      <c r="N49" s="13" t="s">
        <v>186</v>
      </c>
      <c r="O49" s="13" t="s">
        <v>186</v>
      </c>
      <c r="P49" s="13" t="s">
        <v>186</v>
      </c>
      <c r="Q49" s="13" t="s">
        <v>186</v>
      </c>
      <c r="R49" s="13" t="s">
        <v>186</v>
      </c>
      <c r="S49" s="13" t="s">
        <v>186</v>
      </c>
      <c r="T49" s="13" t="s">
        <v>186</v>
      </c>
      <c r="U49" s="13" t="s">
        <v>186</v>
      </c>
    </row>
    <row r="50" spans="1:23" ht="15" customHeight="1" x14ac:dyDescent="0.25">
      <c r="A50" s="5" t="str">
        <f>("2")</f>
        <v>2</v>
      </c>
      <c r="B50" s="6" t="s">
        <v>13</v>
      </c>
      <c r="C50" s="6" t="s">
        <v>14</v>
      </c>
      <c r="D50" s="5" t="str">
        <f>("82974")</f>
        <v>82974</v>
      </c>
      <c r="E50" s="6" t="s">
        <v>15</v>
      </c>
      <c r="F50" s="6" t="s">
        <v>16</v>
      </c>
      <c r="G50" s="11" t="s">
        <v>12</v>
      </c>
      <c r="H50" s="13">
        <v>0</v>
      </c>
      <c r="I50" s="13">
        <v>0</v>
      </c>
      <c r="J50" s="13">
        <v>4</v>
      </c>
      <c r="K50" s="13">
        <v>0</v>
      </c>
      <c r="L50" s="13">
        <v>0</v>
      </c>
      <c r="M50" s="13">
        <v>0</v>
      </c>
      <c r="N50" s="13">
        <v>4</v>
      </c>
      <c r="O50" s="13">
        <v>7</v>
      </c>
      <c r="P50" s="13">
        <v>3</v>
      </c>
      <c r="Q50" s="13">
        <v>1</v>
      </c>
      <c r="R50" s="13">
        <v>5</v>
      </c>
      <c r="S50" s="13">
        <v>0</v>
      </c>
      <c r="T50" s="13">
        <f>SUM(H50:S50)</f>
        <v>24</v>
      </c>
      <c r="U50" s="13" t="s">
        <v>233</v>
      </c>
    </row>
    <row r="51" spans="1:23" ht="15" customHeight="1" x14ac:dyDescent="0.25">
      <c r="A51" s="5"/>
      <c r="B51" s="6"/>
      <c r="C51" s="6"/>
      <c r="D51" s="5"/>
      <c r="E51" s="6"/>
      <c r="F51" s="6"/>
      <c r="G51" s="11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3" ht="15" customHeight="1" x14ac:dyDescent="0.25">
      <c r="A52" s="5" t="str">
        <f>("15")</f>
        <v>15</v>
      </c>
      <c r="B52" s="6" t="s">
        <v>25</v>
      </c>
      <c r="C52" s="6" t="s">
        <v>14</v>
      </c>
      <c r="D52" s="5" t="str">
        <f>("12857")</f>
        <v>12857</v>
      </c>
      <c r="E52" s="6" t="s">
        <v>10</v>
      </c>
      <c r="F52" s="6" t="s">
        <v>26</v>
      </c>
      <c r="G52" s="11" t="s">
        <v>12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0</v>
      </c>
      <c r="Q52" s="13">
        <v>0</v>
      </c>
      <c r="R52" s="13">
        <v>0</v>
      </c>
      <c r="S52" s="13">
        <v>0</v>
      </c>
      <c r="T52" s="13">
        <f>SUM(H52:S52)</f>
        <v>1</v>
      </c>
      <c r="U52" s="13" t="s">
        <v>233</v>
      </c>
    </row>
    <row r="53" spans="1:23" ht="15" customHeight="1" x14ac:dyDescent="0.25">
      <c r="A53" s="5" t="str">
        <f>("500")</f>
        <v>500</v>
      </c>
      <c r="B53" s="6" t="s">
        <v>175</v>
      </c>
      <c r="C53" s="6" t="s">
        <v>176</v>
      </c>
      <c r="D53" s="5" t="str">
        <f>("10955")</f>
        <v>10955</v>
      </c>
      <c r="E53" s="6" t="s">
        <v>10</v>
      </c>
      <c r="F53" s="6" t="s">
        <v>138</v>
      </c>
      <c r="G53" s="11" t="s">
        <v>12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</v>
      </c>
      <c r="P53" s="13">
        <v>0</v>
      </c>
      <c r="Q53" s="13">
        <v>0</v>
      </c>
      <c r="R53" s="13">
        <v>0</v>
      </c>
      <c r="S53" s="13">
        <v>0</v>
      </c>
      <c r="T53" s="13">
        <f>SUM(H53:S53)</f>
        <v>2</v>
      </c>
      <c r="U53" s="13" t="s">
        <v>234</v>
      </c>
    </row>
    <row r="54" spans="1:23" ht="15" customHeight="1" x14ac:dyDescent="0.25">
      <c r="A54" s="5" t="str">
        <f>("1")</f>
        <v>1</v>
      </c>
      <c r="B54" s="6" t="s">
        <v>8</v>
      </c>
      <c r="C54" s="6" t="s">
        <v>9</v>
      </c>
      <c r="D54" s="5" t="str">
        <f>("49772")</f>
        <v>49772</v>
      </c>
      <c r="E54" s="6" t="s">
        <v>10</v>
      </c>
      <c r="F54" s="6" t="s">
        <v>11</v>
      </c>
      <c r="G54" s="11" t="s">
        <v>12</v>
      </c>
      <c r="H54" s="13">
        <v>0</v>
      </c>
      <c r="I54" s="13">
        <v>5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f>SUM(H54:S54)</f>
        <v>5</v>
      </c>
      <c r="U54" s="13" t="s">
        <v>235</v>
      </c>
    </row>
    <row r="55" spans="1:23" ht="15" customHeight="1" x14ac:dyDescent="0.25">
      <c r="A55" s="5" t="str">
        <f>("345")</f>
        <v>345</v>
      </c>
      <c r="B55" s="6" t="s">
        <v>70</v>
      </c>
      <c r="C55" s="6" t="s">
        <v>143</v>
      </c>
      <c r="D55" s="5" t="str">
        <f>("201725")</f>
        <v>201725</v>
      </c>
      <c r="E55" s="6" t="s">
        <v>10</v>
      </c>
      <c r="F55" s="6" t="s">
        <v>144</v>
      </c>
      <c r="G55" s="11" t="s">
        <v>12</v>
      </c>
      <c r="H55" s="13">
        <v>0</v>
      </c>
      <c r="I55" s="13">
        <v>0</v>
      </c>
      <c r="J55" s="13">
        <v>5</v>
      </c>
      <c r="K55" s="13">
        <v>0</v>
      </c>
      <c r="L55" s="13">
        <v>0</v>
      </c>
      <c r="M55" s="13">
        <v>0</v>
      </c>
      <c r="N55" s="13">
        <v>0</v>
      </c>
      <c r="O55" s="13">
        <v>4</v>
      </c>
      <c r="P55" s="13">
        <v>0</v>
      </c>
      <c r="Q55" s="13">
        <v>3</v>
      </c>
      <c r="R55" s="13">
        <v>0</v>
      </c>
      <c r="S55" s="13">
        <v>0</v>
      </c>
      <c r="T55" s="13">
        <f>SUM(H55:S55)</f>
        <v>12</v>
      </c>
      <c r="U55" s="13" t="s">
        <v>236</v>
      </c>
    </row>
    <row r="56" spans="1:23" ht="15" customHeight="1" x14ac:dyDescent="0.25">
      <c r="A56" s="5" t="str">
        <f>("242")</f>
        <v>242</v>
      </c>
      <c r="B56" s="6" t="s">
        <v>126</v>
      </c>
      <c r="C56" s="6" t="s">
        <v>98</v>
      </c>
      <c r="D56" s="5" t="str">
        <f>("156109")</f>
        <v>156109</v>
      </c>
      <c r="E56" s="6" t="s">
        <v>10</v>
      </c>
      <c r="F56" s="6" t="s">
        <v>127</v>
      </c>
      <c r="G56" s="11" t="s">
        <v>12</v>
      </c>
      <c r="H56" s="13" t="s">
        <v>230</v>
      </c>
      <c r="I56" s="13" t="s">
        <v>230</v>
      </c>
      <c r="J56" s="13" t="s">
        <v>230</v>
      </c>
      <c r="K56" s="13" t="s">
        <v>230</v>
      </c>
      <c r="L56" s="13" t="s">
        <v>230</v>
      </c>
      <c r="M56" s="13" t="s">
        <v>230</v>
      </c>
      <c r="N56" s="13" t="s">
        <v>230</v>
      </c>
      <c r="O56" s="13" t="s">
        <v>230</v>
      </c>
      <c r="P56" s="13" t="s">
        <v>230</v>
      </c>
      <c r="Q56" s="13" t="s">
        <v>230</v>
      </c>
      <c r="R56" s="13" t="s">
        <v>230</v>
      </c>
      <c r="S56" s="13" t="s">
        <v>230</v>
      </c>
      <c r="T56" s="13" t="s">
        <v>230</v>
      </c>
      <c r="U56" s="13" t="s">
        <v>230</v>
      </c>
      <c r="V56" t="s">
        <v>186</v>
      </c>
    </row>
    <row r="57" spans="1:23" ht="15" customHeight="1" x14ac:dyDescent="0.25">
      <c r="A57" s="5" t="str">
        <f>("298")</f>
        <v>298</v>
      </c>
      <c r="B57" s="6" t="s">
        <v>8</v>
      </c>
      <c r="C57" s="6" t="s">
        <v>112</v>
      </c>
      <c r="D57" s="5" t="str">
        <f>("201480")</f>
        <v>201480</v>
      </c>
      <c r="E57" s="6" t="s">
        <v>10</v>
      </c>
      <c r="F57" s="6" t="s">
        <v>138</v>
      </c>
      <c r="G57" s="11" t="s">
        <v>12</v>
      </c>
      <c r="H57" s="13" t="s">
        <v>230</v>
      </c>
      <c r="I57" s="13" t="s">
        <v>230</v>
      </c>
      <c r="J57" s="13" t="s">
        <v>230</v>
      </c>
      <c r="K57" s="13" t="s">
        <v>230</v>
      </c>
      <c r="L57" s="13" t="s">
        <v>230</v>
      </c>
      <c r="M57" s="13" t="s">
        <v>230</v>
      </c>
      <c r="N57" s="13" t="s">
        <v>230</v>
      </c>
      <c r="O57" s="13" t="s">
        <v>230</v>
      </c>
      <c r="P57" s="13" t="s">
        <v>230</v>
      </c>
      <c r="Q57" s="13" t="s">
        <v>230</v>
      </c>
      <c r="R57" s="13" t="s">
        <v>230</v>
      </c>
      <c r="S57" s="13" t="s">
        <v>230</v>
      </c>
      <c r="T57" s="13" t="s">
        <v>230</v>
      </c>
      <c r="U57" s="13" t="s">
        <v>230</v>
      </c>
      <c r="V57" t="s">
        <v>186</v>
      </c>
    </row>
    <row r="58" spans="1:23" ht="15" customHeight="1" x14ac:dyDescent="0.25">
      <c r="A58" s="5"/>
      <c r="B58" s="6"/>
      <c r="C58" s="6"/>
      <c r="D58" s="5"/>
      <c r="E58" s="6"/>
      <c r="F58" s="6"/>
      <c r="G58" s="1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3" ht="15" customHeight="1" x14ac:dyDescent="0.25">
      <c r="A59" s="5" t="str">
        <f>("290")</f>
        <v>290</v>
      </c>
      <c r="B59" s="6" t="s">
        <v>133</v>
      </c>
      <c r="C59" s="6" t="s">
        <v>134</v>
      </c>
      <c r="D59" s="5" t="str">
        <f>("177386")</f>
        <v>177386</v>
      </c>
      <c r="E59" s="6" t="s">
        <v>19</v>
      </c>
      <c r="F59" s="6" t="s">
        <v>135</v>
      </c>
      <c r="G59" s="11" t="s">
        <v>39</v>
      </c>
      <c r="H59" s="13">
        <v>0</v>
      </c>
      <c r="I59" s="13">
        <v>0</v>
      </c>
      <c r="J59" s="13">
        <v>0</v>
      </c>
      <c r="K59" s="13">
        <v>1</v>
      </c>
      <c r="L59" s="13">
        <v>0</v>
      </c>
      <c r="M59" s="13">
        <v>7</v>
      </c>
      <c r="N59" s="13">
        <v>5</v>
      </c>
      <c r="O59" s="13">
        <v>5</v>
      </c>
      <c r="P59" s="13">
        <v>0</v>
      </c>
      <c r="Q59" s="13">
        <v>0</v>
      </c>
      <c r="R59" s="13">
        <v>0</v>
      </c>
      <c r="S59" s="13">
        <v>0</v>
      </c>
      <c r="T59" s="13">
        <f t="shared" ref="T59:T68" si="2">SUM(H59:S59)</f>
        <v>18</v>
      </c>
      <c r="U59" s="13" t="s">
        <v>233</v>
      </c>
    </row>
    <row r="60" spans="1:23" ht="15" customHeight="1" x14ac:dyDescent="0.25">
      <c r="A60" s="5" t="str">
        <f>("67")</f>
        <v>67</v>
      </c>
      <c r="B60" s="6" t="s">
        <v>73</v>
      </c>
      <c r="C60" s="6" t="s">
        <v>74</v>
      </c>
      <c r="D60" s="5" t="str">
        <f>("61065")</f>
        <v>61065</v>
      </c>
      <c r="E60" s="6" t="s">
        <v>19</v>
      </c>
      <c r="F60" s="6" t="s">
        <v>75</v>
      </c>
      <c r="G60" s="11" t="s">
        <v>12</v>
      </c>
      <c r="H60" s="13">
        <v>1</v>
      </c>
      <c r="I60" s="13">
        <v>0</v>
      </c>
      <c r="J60" s="13">
        <v>2</v>
      </c>
      <c r="K60" s="13">
        <v>11</v>
      </c>
      <c r="L60" s="13">
        <v>0</v>
      </c>
      <c r="M60" s="13">
        <v>0</v>
      </c>
      <c r="N60" s="13">
        <v>6</v>
      </c>
      <c r="O60" s="13">
        <v>4</v>
      </c>
      <c r="P60" s="13">
        <v>3</v>
      </c>
      <c r="Q60" s="13">
        <v>0</v>
      </c>
      <c r="R60" s="13">
        <v>1</v>
      </c>
      <c r="S60" s="13">
        <v>0</v>
      </c>
      <c r="T60" s="13">
        <f t="shared" si="2"/>
        <v>28</v>
      </c>
      <c r="U60" s="13" t="s">
        <v>234</v>
      </c>
    </row>
    <row r="61" spans="1:23" s="19" customFormat="1" ht="15" customHeight="1" x14ac:dyDescent="0.25">
      <c r="A61" s="15" t="str">
        <f>("174")</f>
        <v>174</v>
      </c>
      <c r="B61" s="16" t="s">
        <v>208</v>
      </c>
      <c r="C61" s="16" t="s">
        <v>209</v>
      </c>
      <c r="D61" s="15">
        <v>204244</v>
      </c>
      <c r="E61" s="16" t="s">
        <v>19</v>
      </c>
      <c r="F61" s="16" t="s">
        <v>81</v>
      </c>
      <c r="G61" s="17" t="s">
        <v>12</v>
      </c>
      <c r="H61" s="18">
        <v>5</v>
      </c>
      <c r="I61" s="18">
        <v>0</v>
      </c>
      <c r="J61" s="18">
        <v>4</v>
      </c>
      <c r="K61" s="18">
        <v>5</v>
      </c>
      <c r="L61" s="18">
        <v>0</v>
      </c>
      <c r="M61" s="18">
        <v>4</v>
      </c>
      <c r="N61" s="18">
        <v>5</v>
      </c>
      <c r="O61" s="18">
        <v>1</v>
      </c>
      <c r="P61" s="18">
        <v>6</v>
      </c>
      <c r="Q61" s="18">
        <v>0</v>
      </c>
      <c r="R61" s="18">
        <v>2</v>
      </c>
      <c r="S61" s="18">
        <v>1</v>
      </c>
      <c r="T61" s="18">
        <f>SUM(H61:S61)</f>
        <v>33</v>
      </c>
      <c r="U61" s="13" t="s">
        <v>235</v>
      </c>
    </row>
    <row r="62" spans="1:23" s="14" customFormat="1" ht="15" customHeight="1" x14ac:dyDescent="0.25">
      <c r="A62" s="5" t="str">
        <f>("71")</f>
        <v>71</v>
      </c>
      <c r="B62" s="6" t="s">
        <v>77</v>
      </c>
      <c r="C62" s="6" t="s">
        <v>78</v>
      </c>
      <c r="D62" s="5" t="str">
        <f>("83526")</f>
        <v>83526</v>
      </c>
      <c r="E62" s="6" t="s">
        <v>19</v>
      </c>
      <c r="F62" s="6" t="s">
        <v>20</v>
      </c>
      <c r="G62" s="11" t="s">
        <v>12</v>
      </c>
      <c r="H62" s="13">
        <v>6</v>
      </c>
      <c r="I62" s="13">
        <v>3</v>
      </c>
      <c r="J62" s="13">
        <v>4</v>
      </c>
      <c r="K62" s="13">
        <v>1</v>
      </c>
      <c r="L62" s="13">
        <v>0</v>
      </c>
      <c r="M62" s="13">
        <v>2</v>
      </c>
      <c r="N62" s="13">
        <v>5</v>
      </c>
      <c r="O62" s="13">
        <v>7</v>
      </c>
      <c r="P62" s="13">
        <v>2</v>
      </c>
      <c r="Q62" s="13">
        <v>0</v>
      </c>
      <c r="R62" s="13">
        <v>4</v>
      </c>
      <c r="S62" s="13">
        <v>0</v>
      </c>
      <c r="T62" s="13">
        <f>SUM(H62:S62)</f>
        <v>34</v>
      </c>
      <c r="U62" s="13" t="s">
        <v>236</v>
      </c>
      <c r="V62"/>
      <c r="W62"/>
    </row>
    <row r="63" spans="1:23" ht="15" customHeight="1" x14ac:dyDescent="0.25">
      <c r="A63" s="5" t="str">
        <f>("523")</f>
        <v>523</v>
      </c>
      <c r="B63" s="6" t="s">
        <v>177</v>
      </c>
      <c r="C63" s="6" t="s">
        <v>178</v>
      </c>
      <c r="D63" s="5" t="str">
        <f>("191912")</f>
        <v>191912</v>
      </c>
      <c r="E63" s="6" t="s">
        <v>19</v>
      </c>
      <c r="F63" s="6" t="s">
        <v>187</v>
      </c>
      <c r="G63" s="11" t="s">
        <v>12</v>
      </c>
      <c r="H63" s="13">
        <v>1</v>
      </c>
      <c r="I63" s="13">
        <v>0</v>
      </c>
      <c r="J63" s="13">
        <v>7</v>
      </c>
      <c r="K63" s="13">
        <v>8</v>
      </c>
      <c r="L63" s="13">
        <v>6</v>
      </c>
      <c r="M63" s="13">
        <v>5</v>
      </c>
      <c r="N63" s="13">
        <v>6</v>
      </c>
      <c r="O63" s="13">
        <v>5</v>
      </c>
      <c r="P63" s="13">
        <v>1</v>
      </c>
      <c r="Q63" s="13">
        <v>0</v>
      </c>
      <c r="R63" s="13">
        <v>1</v>
      </c>
      <c r="S63" s="13">
        <v>1</v>
      </c>
      <c r="T63" s="13">
        <f t="shared" si="2"/>
        <v>41</v>
      </c>
      <c r="U63" s="13" t="s">
        <v>237</v>
      </c>
    </row>
    <row r="64" spans="1:23" ht="15" customHeight="1" x14ac:dyDescent="0.25">
      <c r="A64" s="5" t="str">
        <f>("143")</f>
        <v>143</v>
      </c>
      <c r="B64" s="6" t="s">
        <v>102</v>
      </c>
      <c r="C64" s="6" t="s">
        <v>103</v>
      </c>
      <c r="D64" s="5" t="str">
        <f>("86938")</f>
        <v>86938</v>
      </c>
      <c r="E64" s="6" t="s">
        <v>19</v>
      </c>
      <c r="F64" s="6" t="s">
        <v>104</v>
      </c>
      <c r="G64" s="11" t="s">
        <v>12</v>
      </c>
      <c r="H64" s="13">
        <v>3</v>
      </c>
      <c r="I64" s="13">
        <v>0</v>
      </c>
      <c r="J64" s="13">
        <v>6</v>
      </c>
      <c r="K64" s="13">
        <v>12</v>
      </c>
      <c r="L64" s="13">
        <v>2</v>
      </c>
      <c r="M64" s="13">
        <v>3</v>
      </c>
      <c r="N64" s="13">
        <v>11</v>
      </c>
      <c r="O64" s="13">
        <v>5</v>
      </c>
      <c r="P64" s="13">
        <v>5</v>
      </c>
      <c r="Q64" s="13">
        <v>1</v>
      </c>
      <c r="R64" s="13">
        <v>1</v>
      </c>
      <c r="S64" s="13">
        <v>2</v>
      </c>
      <c r="T64" s="13">
        <f t="shared" si="2"/>
        <v>51</v>
      </c>
      <c r="U64" s="13" t="s">
        <v>238</v>
      </c>
    </row>
    <row r="65" spans="1:23" ht="15" customHeight="1" x14ac:dyDescent="0.25">
      <c r="A65" s="5" t="str">
        <f>("213")</f>
        <v>213</v>
      </c>
      <c r="B65" s="6" t="s">
        <v>116</v>
      </c>
      <c r="C65" s="6" t="s">
        <v>117</v>
      </c>
      <c r="D65" s="5" t="str">
        <f>("199918")</f>
        <v>199918</v>
      </c>
      <c r="E65" s="6" t="s">
        <v>19</v>
      </c>
      <c r="F65" s="6" t="s">
        <v>72</v>
      </c>
      <c r="G65" s="11" t="s">
        <v>12</v>
      </c>
      <c r="H65" s="13">
        <v>6</v>
      </c>
      <c r="I65" s="13">
        <v>0</v>
      </c>
      <c r="J65" s="13">
        <v>6</v>
      </c>
      <c r="K65" s="13">
        <v>6</v>
      </c>
      <c r="L65" s="13">
        <v>8</v>
      </c>
      <c r="M65" s="13">
        <v>8</v>
      </c>
      <c r="N65" s="13">
        <v>5</v>
      </c>
      <c r="O65" s="13">
        <v>4</v>
      </c>
      <c r="P65" s="13">
        <v>6</v>
      </c>
      <c r="Q65" s="13">
        <v>0</v>
      </c>
      <c r="R65" s="13">
        <v>5</v>
      </c>
      <c r="S65" s="13">
        <v>0</v>
      </c>
      <c r="T65" s="13">
        <f t="shared" si="2"/>
        <v>54</v>
      </c>
      <c r="U65" s="13" t="s">
        <v>239</v>
      </c>
    </row>
    <row r="66" spans="1:23" ht="15" customHeight="1" x14ac:dyDescent="0.25">
      <c r="A66" s="5" t="str">
        <f>("247")</f>
        <v>247</v>
      </c>
      <c r="B66" s="6" t="s">
        <v>129</v>
      </c>
      <c r="C66" s="6" t="s">
        <v>130</v>
      </c>
      <c r="D66" s="5" t="str">
        <f>("161703")</f>
        <v>161703</v>
      </c>
      <c r="E66" s="6" t="s">
        <v>19</v>
      </c>
      <c r="F66" s="6" t="s">
        <v>89</v>
      </c>
      <c r="G66" s="11" t="s">
        <v>12</v>
      </c>
      <c r="H66" s="13">
        <v>1</v>
      </c>
      <c r="I66" s="13">
        <v>0</v>
      </c>
      <c r="J66" s="13">
        <v>8</v>
      </c>
      <c r="K66" s="13">
        <v>3</v>
      </c>
      <c r="L66" s="13">
        <v>8</v>
      </c>
      <c r="M66" s="13">
        <v>6</v>
      </c>
      <c r="N66" s="13">
        <v>6</v>
      </c>
      <c r="O66" s="13">
        <v>3</v>
      </c>
      <c r="P66" s="13">
        <v>10</v>
      </c>
      <c r="Q66" s="13">
        <v>5</v>
      </c>
      <c r="R66" s="13">
        <v>7</v>
      </c>
      <c r="S66" s="13">
        <v>4</v>
      </c>
      <c r="T66" s="13">
        <f t="shared" si="2"/>
        <v>61</v>
      </c>
      <c r="U66" s="13" t="s">
        <v>240</v>
      </c>
    </row>
    <row r="67" spans="1:23" ht="15" customHeight="1" x14ac:dyDescent="0.25">
      <c r="A67" s="5">
        <v>802</v>
      </c>
      <c r="B67" s="6" t="s">
        <v>210</v>
      </c>
      <c r="C67" s="6" t="s">
        <v>99</v>
      </c>
      <c r="D67" s="5">
        <v>20429</v>
      </c>
      <c r="E67" s="6" t="s">
        <v>19</v>
      </c>
      <c r="F67" s="6" t="s">
        <v>24</v>
      </c>
      <c r="G67" s="11" t="s">
        <v>12</v>
      </c>
      <c r="H67" s="13">
        <v>8</v>
      </c>
      <c r="I67" s="13">
        <v>3</v>
      </c>
      <c r="J67" s="13">
        <v>7</v>
      </c>
      <c r="K67" s="13">
        <v>6</v>
      </c>
      <c r="L67" s="13">
        <v>1</v>
      </c>
      <c r="M67" s="13">
        <v>5</v>
      </c>
      <c r="N67" s="13">
        <v>11</v>
      </c>
      <c r="O67" s="13">
        <v>9</v>
      </c>
      <c r="P67" s="13">
        <v>8</v>
      </c>
      <c r="Q67" s="13">
        <v>2</v>
      </c>
      <c r="R67" s="13">
        <v>8</v>
      </c>
      <c r="S67" s="13">
        <v>2</v>
      </c>
      <c r="T67" s="13">
        <f t="shared" si="2"/>
        <v>70</v>
      </c>
      <c r="U67" s="13" t="s">
        <v>241</v>
      </c>
    </row>
    <row r="68" spans="1:23" ht="15" customHeight="1" x14ac:dyDescent="0.25">
      <c r="A68" s="5" t="str">
        <f>("434")</f>
        <v>434</v>
      </c>
      <c r="B68" s="6" t="s">
        <v>128</v>
      </c>
      <c r="C68" s="6" t="s">
        <v>162</v>
      </c>
      <c r="D68" s="5" t="str">
        <f>("186529")</f>
        <v>186529</v>
      </c>
      <c r="E68" s="6" t="s">
        <v>19</v>
      </c>
      <c r="F68" s="6" t="s">
        <v>163</v>
      </c>
      <c r="G68" s="11" t="s">
        <v>12</v>
      </c>
      <c r="H68" s="13">
        <v>7</v>
      </c>
      <c r="I68" s="13">
        <v>3</v>
      </c>
      <c r="J68" s="13">
        <v>9</v>
      </c>
      <c r="K68" s="13">
        <v>8</v>
      </c>
      <c r="L68" s="13">
        <v>8</v>
      </c>
      <c r="M68" s="13">
        <v>15</v>
      </c>
      <c r="N68" s="13">
        <v>11</v>
      </c>
      <c r="O68" s="13">
        <v>8</v>
      </c>
      <c r="P68" s="13">
        <v>13</v>
      </c>
      <c r="Q68" s="13">
        <v>2</v>
      </c>
      <c r="R68" s="13">
        <v>13</v>
      </c>
      <c r="S68" s="13">
        <v>0</v>
      </c>
      <c r="T68" s="13">
        <f t="shared" si="2"/>
        <v>97</v>
      </c>
      <c r="U68" s="13" t="s">
        <v>242</v>
      </c>
    </row>
    <row r="69" spans="1:23" ht="15" customHeight="1" x14ac:dyDescent="0.25">
      <c r="A69" s="5" t="str">
        <f>("7")</f>
        <v>7</v>
      </c>
      <c r="B69" s="6" t="s">
        <v>17</v>
      </c>
      <c r="C69" s="6" t="s">
        <v>18</v>
      </c>
      <c r="D69" s="5" t="str">
        <f>("198207")</f>
        <v>198207</v>
      </c>
      <c r="E69" s="6" t="s">
        <v>19</v>
      </c>
      <c r="F69" s="6" t="s">
        <v>20</v>
      </c>
      <c r="G69" s="11" t="s">
        <v>12</v>
      </c>
      <c r="H69" s="13" t="s">
        <v>230</v>
      </c>
      <c r="I69" s="13" t="s">
        <v>230</v>
      </c>
      <c r="J69" s="13" t="s">
        <v>230</v>
      </c>
      <c r="K69" s="13" t="s">
        <v>230</v>
      </c>
      <c r="L69" s="13" t="s">
        <v>230</v>
      </c>
      <c r="M69" s="13" t="s">
        <v>230</v>
      </c>
      <c r="N69" s="13" t="s">
        <v>230</v>
      </c>
      <c r="O69" s="13" t="s">
        <v>230</v>
      </c>
      <c r="P69" s="13" t="s">
        <v>230</v>
      </c>
      <c r="Q69" s="13" t="s">
        <v>230</v>
      </c>
      <c r="R69" s="13" t="s">
        <v>230</v>
      </c>
      <c r="S69" s="13" t="s">
        <v>230</v>
      </c>
      <c r="T69" s="13" t="s">
        <v>230</v>
      </c>
      <c r="U69" s="13" t="s">
        <v>230</v>
      </c>
      <c r="V69" t="s">
        <v>186</v>
      </c>
    </row>
    <row r="70" spans="1:23" ht="15" customHeight="1" x14ac:dyDescent="0.25">
      <c r="A70" s="5" t="str">
        <f>("47")</f>
        <v>47</v>
      </c>
      <c r="B70" s="6" t="s">
        <v>56</v>
      </c>
      <c r="C70" s="6" t="s">
        <v>57</v>
      </c>
      <c r="D70" s="5" t="str">
        <f>("192287")</f>
        <v>192287</v>
      </c>
      <c r="E70" s="6" t="s">
        <v>19</v>
      </c>
      <c r="F70" s="6" t="s">
        <v>58</v>
      </c>
      <c r="G70" s="11" t="s">
        <v>12</v>
      </c>
      <c r="H70" s="13" t="s">
        <v>230</v>
      </c>
      <c r="I70" s="13" t="s">
        <v>230</v>
      </c>
      <c r="J70" s="13" t="s">
        <v>230</v>
      </c>
      <c r="K70" s="13" t="s">
        <v>230</v>
      </c>
      <c r="L70" s="13" t="s">
        <v>230</v>
      </c>
      <c r="M70" s="13" t="s">
        <v>230</v>
      </c>
      <c r="N70" s="13" t="s">
        <v>230</v>
      </c>
      <c r="O70" s="13" t="s">
        <v>230</v>
      </c>
      <c r="P70" s="13" t="s">
        <v>230</v>
      </c>
      <c r="Q70" s="13" t="s">
        <v>230</v>
      </c>
      <c r="R70" s="13" t="s">
        <v>230</v>
      </c>
      <c r="S70" s="13" t="s">
        <v>230</v>
      </c>
      <c r="T70" s="13" t="s">
        <v>230</v>
      </c>
      <c r="U70" s="13" t="s">
        <v>230</v>
      </c>
    </row>
    <row r="71" spans="1:23" ht="15" customHeight="1" x14ac:dyDescent="0.25">
      <c r="A71" s="5"/>
      <c r="B71" s="6"/>
      <c r="C71" s="6"/>
      <c r="D71" s="5"/>
      <c r="E71" s="6"/>
      <c r="F71" s="6"/>
      <c r="G71" s="11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 ht="15" customHeight="1" x14ac:dyDescent="0.25">
      <c r="A72" s="5" t="str">
        <f>("37")</f>
        <v>37</v>
      </c>
      <c r="B72" s="6" t="s">
        <v>146</v>
      </c>
      <c r="C72" s="6" t="s">
        <v>54</v>
      </c>
      <c r="D72" s="5" t="str">
        <f>("116173")</f>
        <v>116173</v>
      </c>
      <c r="E72" s="6" t="s">
        <v>47</v>
      </c>
      <c r="F72" s="6" t="s">
        <v>55</v>
      </c>
      <c r="G72" s="11" t="s">
        <v>12</v>
      </c>
      <c r="H72" s="13">
        <v>0</v>
      </c>
      <c r="I72" s="13">
        <v>0</v>
      </c>
      <c r="J72" s="13">
        <v>1</v>
      </c>
      <c r="K72" s="13">
        <v>0</v>
      </c>
      <c r="L72" s="13">
        <v>0</v>
      </c>
      <c r="M72" s="13">
        <v>1</v>
      </c>
      <c r="N72" s="13">
        <v>2</v>
      </c>
      <c r="O72" s="13">
        <v>2</v>
      </c>
      <c r="P72" s="13">
        <v>0</v>
      </c>
      <c r="Q72" s="13">
        <v>0</v>
      </c>
      <c r="R72" s="13">
        <v>0</v>
      </c>
      <c r="S72" s="13">
        <v>0</v>
      </c>
      <c r="T72" s="13">
        <f>SUM(H72:S72)</f>
        <v>6</v>
      </c>
      <c r="U72" s="13" t="s">
        <v>233</v>
      </c>
    </row>
    <row r="73" spans="1:23" ht="15" customHeight="1" x14ac:dyDescent="0.25">
      <c r="A73" s="5" t="str">
        <f>("57")</f>
        <v>57</v>
      </c>
      <c r="B73" s="6" t="s">
        <v>62</v>
      </c>
      <c r="C73" s="6" t="s">
        <v>63</v>
      </c>
      <c r="D73" s="5" t="str">
        <f>("121323")</f>
        <v>121323</v>
      </c>
      <c r="E73" s="6" t="s">
        <v>47</v>
      </c>
      <c r="F73" s="6" t="s">
        <v>48</v>
      </c>
      <c r="G73" s="11" t="s">
        <v>12</v>
      </c>
      <c r="H73" s="13">
        <v>0</v>
      </c>
      <c r="I73" s="13">
        <v>2</v>
      </c>
      <c r="J73" s="13">
        <v>0</v>
      </c>
      <c r="K73" s="13">
        <v>0</v>
      </c>
      <c r="L73" s="13">
        <v>0</v>
      </c>
      <c r="M73" s="13">
        <v>4</v>
      </c>
      <c r="N73" s="13">
        <v>6</v>
      </c>
      <c r="O73" s="13">
        <v>1</v>
      </c>
      <c r="P73" s="13">
        <v>1</v>
      </c>
      <c r="Q73" s="13">
        <v>0</v>
      </c>
      <c r="R73" s="13">
        <v>0</v>
      </c>
      <c r="S73" s="13">
        <v>0</v>
      </c>
      <c r="T73" s="13">
        <f>SUM(H73:S73)</f>
        <v>14</v>
      </c>
      <c r="U73" s="13" t="s">
        <v>234</v>
      </c>
    </row>
    <row r="74" spans="1:23" ht="14.25" customHeight="1" x14ac:dyDescent="0.25">
      <c r="A74" s="5"/>
      <c r="B74" s="6"/>
      <c r="C74" s="6"/>
      <c r="D74" s="5"/>
      <c r="E74" s="6"/>
      <c r="F74" s="6"/>
      <c r="G74" s="1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3" ht="15" customHeight="1" x14ac:dyDescent="0.25">
      <c r="A75" s="5" t="str">
        <f>("441")</f>
        <v>441</v>
      </c>
      <c r="B75" s="6" t="s">
        <v>64</v>
      </c>
      <c r="C75" s="6" t="s">
        <v>164</v>
      </c>
      <c r="D75" s="5" t="str">
        <f>("124853")</f>
        <v>124853</v>
      </c>
      <c r="E75" s="6" t="s">
        <v>42</v>
      </c>
      <c r="F75" s="6" t="s">
        <v>165</v>
      </c>
      <c r="G75" s="11" t="s">
        <v>166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f>SUM(H75:S75)</f>
        <v>0</v>
      </c>
      <c r="U75" s="13" t="s">
        <v>233</v>
      </c>
    </row>
    <row r="76" spans="1:23" ht="15" customHeight="1" x14ac:dyDescent="0.25">
      <c r="A76" s="5" t="str">
        <f>("30")</f>
        <v>30</v>
      </c>
      <c r="B76" s="6" t="s">
        <v>46</v>
      </c>
      <c r="C76" s="6" t="s">
        <v>37</v>
      </c>
      <c r="D76" s="5" t="str">
        <f>("82329")</f>
        <v>82329</v>
      </c>
      <c r="E76" s="6" t="s">
        <v>42</v>
      </c>
      <c r="F76" s="6" t="s">
        <v>48</v>
      </c>
      <c r="G76" s="11" t="s">
        <v>12</v>
      </c>
      <c r="H76" s="13">
        <v>0</v>
      </c>
      <c r="I76" s="13">
        <v>1</v>
      </c>
      <c r="J76" s="13">
        <v>0</v>
      </c>
      <c r="K76" s="13">
        <v>0</v>
      </c>
      <c r="L76" s="13">
        <v>0</v>
      </c>
      <c r="M76" s="13">
        <v>5</v>
      </c>
      <c r="N76" s="13">
        <v>15</v>
      </c>
      <c r="O76" s="13">
        <v>2</v>
      </c>
      <c r="P76" s="13">
        <v>1</v>
      </c>
      <c r="Q76" s="13">
        <v>0</v>
      </c>
      <c r="R76" s="13">
        <v>1</v>
      </c>
      <c r="S76" s="13">
        <v>0</v>
      </c>
      <c r="T76" s="13">
        <f>SUM(H76:S76)</f>
        <v>25</v>
      </c>
      <c r="U76" s="13" t="s">
        <v>234</v>
      </c>
    </row>
    <row r="77" spans="1:23" ht="15" customHeight="1" x14ac:dyDescent="0.25">
      <c r="A77" s="5" t="str">
        <f>("28")</f>
        <v>28</v>
      </c>
      <c r="B77" s="6" t="s">
        <v>40</v>
      </c>
      <c r="C77" s="6" t="s">
        <v>41</v>
      </c>
      <c r="D77" s="5" t="str">
        <f>("96827")</f>
        <v>96827</v>
      </c>
      <c r="E77" s="6" t="s">
        <v>42</v>
      </c>
      <c r="F77" s="6" t="s">
        <v>43</v>
      </c>
      <c r="G77" s="11" t="s">
        <v>12</v>
      </c>
      <c r="H77" s="13" t="s">
        <v>229</v>
      </c>
      <c r="I77" s="13" t="s">
        <v>229</v>
      </c>
      <c r="J77" s="13" t="s">
        <v>229</v>
      </c>
      <c r="K77" s="13" t="s">
        <v>229</v>
      </c>
      <c r="L77" s="13" t="s">
        <v>229</v>
      </c>
      <c r="M77" s="13" t="s">
        <v>229</v>
      </c>
      <c r="N77" s="13" t="s">
        <v>229</v>
      </c>
      <c r="O77" s="13" t="s">
        <v>229</v>
      </c>
      <c r="P77" s="13" t="s">
        <v>229</v>
      </c>
      <c r="Q77" s="13" t="s">
        <v>229</v>
      </c>
      <c r="R77" s="13" t="s">
        <v>229</v>
      </c>
      <c r="S77" s="13" t="s">
        <v>229</v>
      </c>
      <c r="T77" s="13" t="s">
        <v>229</v>
      </c>
      <c r="U77" s="13" t="s">
        <v>229</v>
      </c>
      <c r="W77" t="s">
        <v>186</v>
      </c>
    </row>
    <row r="78" spans="1:23" ht="15" customHeight="1" x14ac:dyDescent="0.25">
      <c r="A78" s="5"/>
      <c r="B78" s="6"/>
      <c r="C78" s="6"/>
      <c r="D78" s="5"/>
      <c r="E78" s="6"/>
      <c r="F78" s="6"/>
      <c r="G78" s="11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3" ht="15" customHeight="1" x14ac:dyDescent="0.25">
      <c r="A79" s="5" t="str">
        <f>("102")</f>
        <v>102</v>
      </c>
      <c r="B79" s="6" t="s">
        <v>87</v>
      </c>
      <c r="C79" s="6" t="s">
        <v>88</v>
      </c>
      <c r="D79" s="5" t="str">
        <f>("53409")</f>
        <v>53409</v>
      </c>
      <c r="E79" s="6" t="s">
        <v>23</v>
      </c>
      <c r="F79" s="6" t="s">
        <v>89</v>
      </c>
      <c r="G79" s="11" t="s">
        <v>12</v>
      </c>
      <c r="H79" s="13">
        <v>0</v>
      </c>
      <c r="I79" s="13">
        <v>0</v>
      </c>
      <c r="J79" s="13">
        <v>3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2</v>
      </c>
      <c r="Q79" s="13">
        <v>0</v>
      </c>
      <c r="R79" s="13">
        <v>0</v>
      </c>
      <c r="S79" s="13">
        <v>0</v>
      </c>
      <c r="T79" s="13">
        <f t="shared" ref="T79:T92" si="3">SUM(H79:S79)</f>
        <v>6</v>
      </c>
      <c r="U79" s="13" t="s">
        <v>233</v>
      </c>
    </row>
    <row r="80" spans="1:23" ht="15" customHeight="1" x14ac:dyDescent="0.25">
      <c r="A80" s="5" t="str">
        <f>("708")</f>
        <v>708</v>
      </c>
      <c r="B80" s="6" t="s">
        <v>32</v>
      </c>
      <c r="C80" s="6" t="s">
        <v>181</v>
      </c>
      <c r="D80" s="5" t="str">
        <f>("10263")</f>
        <v>10263</v>
      </c>
      <c r="E80" s="6" t="s">
        <v>23</v>
      </c>
      <c r="F80" s="6" t="s">
        <v>182</v>
      </c>
      <c r="G80" s="11" t="s">
        <v>12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</v>
      </c>
      <c r="O80" s="13">
        <v>3</v>
      </c>
      <c r="P80" s="13">
        <v>5</v>
      </c>
      <c r="Q80" s="13">
        <v>0</v>
      </c>
      <c r="R80" s="13">
        <v>1</v>
      </c>
      <c r="S80" s="13">
        <v>0</v>
      </c>
      <c r="T80" s="13">
        <f t="shared" si="3"/>
        <v>11</v>
      </c>
      <c r="U80" s="13" t="s">
        <v>234</v>
      </c>
    </row>
    <row r="81" spans="1:22" ht="15" customHeight="1" x14ac:dyDescent="0.25">
      <c r="A81" s="5" t="str">
        <f>("63")</f>
        <v>63</v>
      </c>
      <c r="B81" s="6" t="s">
        <v>70</v>
      </c>
      <c r="C81" s="6" t="s">
        <v>71</v>
      </c>
      <c r="D81" s="5" t="str">
        <f>("185750")</f>
        <v>185750</v>
      </c>
      <c r="E81" s="6" t="s">
        <v>23</v>
      </c>
      <c r="F81" s="6" t="s">
        <v>72</v>
      </c>
      <c r="G81" s="11" t="s">
        <v>12</v>
      </c>
      <c r="H81" s="13">
        <v>1</v>
      </c>
      <c r="I81" s="13">
        <v>0</v>
      </c>
      <c r="J81" s="13">
        <v>1</v>
      </c>
      <c r="K81" s="13">
        <v>1</v>
      </c>
      <c r="L81" s="13">
        <v>0</v>
      </c>
      <c r="M81" s="13">
        <v>1</v>
      </c>
      <c r="N81" s="13">
        <v>2</v>
      </c>
      <c r="O81" s="13">
        <v>0</v>
      </c>
      <c r="P81" s="13">
        <v>6</v>
      </c>
      <c r="Q81" s="13">
        <v>0</v>
      </c>
      <c r="R81" s="13">
        <v>0</v>
      </c>
      <c r="S81" s="13">
        <v>0</v>
      </c>
      <c r="T81" s="13">
        <f t="shared" si="3"/>
        <v>12</v>
      </c>
      <c r="U81" s="13" t="s">
        <v>235</v>
      </c>
    </row>
    <row r="82" spans="1:22" ht="15" customHeight="1" x14ac:dyDescent="0.25">
      <c r="A82" s="5" t="str">
        <f>("83")</f>
        <v>83</v>
      </c>
      <c r="B82" s="6" t="s">
        <v>82</v>
      </c>
      <c r="C82" s="6" t="s">
        <v>83</v>
      </c>
      <c r="D82" s="5" t="str">
        <f>("166177")</f>
        <v>166177</v>
      </c>
      <c r="E82" s="6" t="s">
        <v>23</v>
      </c>
      <c r="F82" s="6" t="s">
        <v>24</v>
      </c>
      <c r="G82" s="11" t="s">
        <v>39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5</v>
      </c>
      <c r="O82" s="13">
        <v>3</v>
      </c>
      <c r="P82" s="13">
        <v>5</v>
      </c>
      <c r="Q82" s="13">
        <v>0</v>
      </c>
      <c r="R82" s="13">
        <v>1</v>
      </c>
      <c r="S82" s="13">
        <v>0</v>
      </c>
      <c r="T82" s="13">
        <f t="shared" si="3"/>
        <v>14</v>
      </c>
      <c r="U82" s="13" t="s">
        <v>236</v>
      </c>
    </row>
    <row r="83" spans="1:22" ht="15" customHeight="1" x14ac:dyDescent="0.25">
      <c r="A83" s="5" t="str">
        <f>("210")</f>
        <v>210</v>
      </c>
      <c r="B83" s="6" t="s">
        <v>113</v>
      </c>
      <c r="C83" s="6" t="s">
        <v>114</v>
      </c>
      <c r="D83" s="5" t="str">
        <f>("47137")</f>
        <v>47137</v>
      </c>
      <c r="E83" s="6" t="s">
        <v>23</v>
      </c>
      <c r="F83" s="6" t="s">
        <v>115</v>
      </c>
      <c r="G83" s="11" t="s">
        <v>12</v>
      </c>
      <c r="H83" s="13">
        <v>1</v>
      </c>
      <c r="I83" s="13">
        <v>0</v>
      </c>
      <c r="J83" s="13">
        <v>1</v>
      </c>
      <c r="K83" s="13">
        <v>0</v>
      </c>
      <c r="L83" s="13">
        <v>5</v>
      </c>
      <c r="M83" s="13">
        <v>5</v>
      </c>
      <c r="N83" s="13">
        <v>6</v>
      </c>
      <c r="O83" s="13">
        <v>1</v>
      </c>
      <c r="P83" s="13">
        <v>1</v>
      </c>
      <c r="Q83" s="13">
        <v>0</v>
      </c>
      <c r="R83" s="13">
        <v>0</v>
      </c>
      <c r="S83" s="13">
        <v>0</v>
      </c>
      <c r="T83" s="13">
        <f t="shared" si="3"/>
        <v>20</v>
      </c>
      <c r="U83" s="13" t="s">
        <v>237</v>
      </c>
    </row>
    <row r="84" spans="1:22" ht="15" customHeight="1" x14ac:dyDescent="0.25">
      <c r="A84" s="5" t="str">
        <f>("88")</f>
        <v>88</v>
      </c>
      <c r="B84" s="6" t="s">
        <v>84</v>
      </c>
      <c r="C84" s="6" t="s">
        <v>85</v>
      </c>
      <c r="D84" s="5" t="str">
        <f>("144169")</f>
        <v>144169</v>
      </c>
      <c r="E84" s="6" t="s">
        <v>23</v>
      </c>
      <c r="F84" s="6" t="s">
        <v>86</v>
      </c>
      <c r="G84" s="11" t="s">
        <v>12</v>
      </c>
      <c r="H84" s="13">
        <v>5</v>
      </c>
      <c r="I84" s="13">
        <v>0</v>
      </c>
      <c r="J84" s="13">
        <v>0</v>
      </c>
      <c r="K84" s="13">
        <v>3</v>
      </c>
      <c r="L84" s="13">
        <v>6</v>
      </c>
      <c r="M84" s="13">
        <v>1</v>
      </c>
      <c r="N84" s="13">
        <v>3</v>
      </c>
      <c r="O84" s="13">
        <v>7</v>
      </c>
      <c r="P84" s="13">
        <v>1</v>
      </c>
      <c r="Q84" s="13">
        <v>0</v>
      </c>
      <c r="R84" s="13">
        <v>2</v>
      </c>
      <c r="S84" s="13">
        <v>0</v>
      </c>
      <c r="T84" s="13">
        <f t="shared" si="3"/>
        <v>28</v>
      </c>
      <c r="U84" s="13" t="s">
        <v>238</v>
      </c>
    </row>
    <row r="85" spans="1:22" ht="15" customHeight="1" x14ac:dyDescent="0.25">
      <c r="A85" s="5" t="str">
        <f>("10")</f>
        <v>10</v>
      </c>
      <c r="B85" s="6" t="s">
        <v>21</v>
      </c>
      <c r="C85" s="6" t="s">
        <v>22</v>
      </c>
      <c r="D85" s="5" t="str">
        <f>("80215")</f>
        <v>80215</v>
      </c>
      <c r="E85" s="6" t="s">
        <v>23</v>
      </c>
      <c r="F85" s="6" t="s">
        <v>24</v>
      </c>
      <c r="G85" s="11" t="s">
        <v>12</v>
      </c>
      <c r="H85" s="13">
        <v>5</v>
      </c>
      <c r="I85" s="13">
        <v>0</v>
      </c>
      <c r="J85" s="13">
        <v>8</v>
      </c>
      <c r="K85" s="13">
        <v>1</v>
      </c>
      <c r="L85" s="13">
        <v>0</v>
      </c>
      <c r="M85" s="13">
        <v>4</v>
      </c>
      <c r="N85" s="13">
        <v>4</v>
      </c>
      <c r="O85" s="13">
        <v>0</v>
      </c>
      <c r="P85" s="13">
        <v>5</v>
      </c>
      <c r="Q85" s="13">
        <v>1</v>
      </c>
      <c r="R85" s="13">
        <v>1</v>
      </c>
      <c r="S85" s="13">
        <v>0</v>
      </c>
      <c r="T85" s="13">
        <f t="shared" si="3"/>
        <v>29</v>
      </c>
      <c r="U85" s="13" t="s">
        <v>239</v>
      </c>
    </row>
    <row r="86" spans="1:22" ht="15" customHeight="1" x14ac:dyDescent="0.25">
      <c r="A86" s="5">
        <v>42</v>
      </c>
      <c r="B86" s="6" t="s">
        <v>141</v>
      </c>
      <c r="C86" s="6" t="s">
        <v>188</v>
      </c>
      <c r="D86" s="5">
        <v>14046</v>
      </c>
      <c r="E86" s="6" t="s">
        <v>23</v>
      </c>
      <c r="F86" s="6" t="s">
        <v>189</v>
      </c>
      <c r="G86" s="11" t="s">
        <v>12</v>
      </c>
      <c r="H86" s="13">
        <v>3</v>
      </c>
      <c r="I86" s="13">
        <v>5</v>
      </c>
      <c r="J86" s="13">
        <v>8</v>
      </c>
      <c r="K86" s="13">
        <v>3</v>
      </c>
      <c r="L86" s="13">
        <v>0</v>
      </c>
      <c r="M86" s="13">
        <v>1</v>
      </c>
      <c r="N86" s="13">
        <v>1</v>
      </c>
      <c r="O86" s="13">
        <v>3</v>
      </c>
      <c r="P86" s="13">
        <v>3</v>
      </c>
      <c r="Q86" s="13">
        <v>0</v>
      </c>
      <c r="R86" s="13">
        <v>5</v>
      </c>
      <c r="S86" s="13">
        <v>0</v>
      </c>
      <c r="T86" s="13">
        <f t="shared" si="3"/>
        <v>32</v>
      </c>
      <c r="U86" s="13" t="s">
        <v>240</v>
      </c>
    </row>
    <row r="87" spans="1:22" ht="15" customHeight="1" x14ac:dyDescent="0.25">
      <c r="A87" s="5" t="str">
        <f>("54")</f>
        <v>54</v>
      </c>
      <c r="B87" s="6" t="s">
        <v>59</v>
      </c>
      <c r="C87" s="6" t="s">
        <v>60</v>
      </c>
      <c r="D87" s="5" t="str">
        <f>("181641")</f>
        <v>181641</v>
      </c>
      <c r="E87" s="6" t="s">
        <v>23</v>
      </c>
      <c r="F87" s="6" t="s">
        <v>61</v>
      </c>
      <c r="G87" s="11" t="s">
        <v>12</v>
      </c>
      <c r="H87" s="13">
        <v>4</v>
      </c>
      <c r="I87" s="13">
        <v>0</v>
      </c>
      <c r="J87" s="13">
        <v>1</v>
      </c>
      <c r="K87" s="13">
        <v>4</v>
      </c>
      <c r="L87" s="13">
        <v>0</v>
      </c>
      <c r="M87" s="13">
        <v>6</v>
      </c>
      <c r="N87" s="13">
        <v>6</v>
      </c>
      <c r="O87" s="13">
        <v>9</v>
      </c>
      <c r="P87" s="13">
        <v>7</v>
      </c>
      <c r="Q87" s="13">
        <v>4</v>
      </c>
      <c r="R87" s="13">
        <v>11</v>
      </c>
      <c r="S87" s="13">
        <v>0</v>
      </c>
      <c r="T87" s="13">
        <f t="shared" si="3"/>
        <v>52</v>
      </c>
      <c r="U87" s="13" t="s">
        <v>241</v>
      </c>
    </row>
    <row r="88" spans="1:22" ht="15" customHeight="1" x14ac:dyDescent="0.25">
      <c r="A88" s="5" t="str">
        <f>("132")</f>
        <v>132</v>
      </c>
      <c r="B88" s="6" t="s">
        <v>99</v>
      </c>
      <c r="C88" s="6" t="s">
        <v>100</v>
      </c>
      <c r="D88" s="5" t="str">
        <f>("177200")</f>
        <v>177200</v>
      </c>
      <c r="E88" s="6" t="s">
        <v>23</v>
      </c>
      <c r="F88" s="6" t="s">
        <v>101</v>
      </c>
      <c r="G88" s="11" t="s">
        <v>12</v>
      </c>
      <c r="H88" s="13">
        <v>3</v>
      </c>
      <c r="I88" s="13">
        <v>0</v>
      </c>
      <c r="J88" s="13">
        <v>4</v>
      </c>
      <c r="K88" s="13">
        <v>6</v>
      </c>
      <c r="L88" s="13">
        <v>3</v>
      </c>
      <c r="M88" s="13">
        <v>5</v>
      </c>
      <c r="N88" s="13">
        <v>8</v>
      </c>
      <c r="O88" s="13">
        <v>6</v>
      </c>
      <c r="P88" s="13">
        <v>8</v>
      </c>
      <c r="Q88" s="13">
        <v>5</v>
      </c>
      <c r="R88" s="13">
        <v>3</v>
      </c>
      <c r="S88" s="13">
        <v>2</v>
      </c>
      <c r="T88" s="13">
        <f t="shared" si="3"/>
        <v>53</v>
      </c>
      <c r="U88" s="13" t="s">
        <v>242</v>
      </c>
    </row>
    <row r="89" spans="1:22" ht="15" customHeight="1" x14ac:dyDescent="0.25">
      <c r="A89" s="5" t="str">
        <f>("344")</f>
        <v>344</v>
      </c>
      <c r="B89" s="6" t="s">
        <v>141</v>
      </c>
      <c r="C89" s="6" t="s">
        <v>142</v>
      </c>
      <c r="D89" s="5" t="str">
        <f>("27668")</f>
        <v>27668</v>
      </c>
      <c r="E89" s="6" t="s">
        <v>23</v>
      </c>
      <c r="F89" s="6" t="s">
        <v>81</v>
      </c>
      <c r="G89" s="11" t="s">
        <v>121</v>
      </c>
      <c r="H89" s="13">
        <v>4</v>
      </c>
      <c r="I89" s="13">
        <v>1</v>
      </c>
      <c r="J89" s="13">
        <v>9</v>
      </c>
      <c r="K89" s="13">
        <v>6</v>
      </c>
      <c r="L89" s="13">
        <v>1</v>
      </c>
      <c r="M89" s="13">
        <v>1</v>
      </c>
      <c r="N89" s="13">
        <v>11</v>
      </c>
      <c r="O89" s="13">
        <v>8</v>
      </c>
      <c r="P89" s="13">
        <v>1</v>
      </c>
      <c r="Q89" s="13">
        <v>2</v>
      </c>
      <c r="R89" s="13">
        <v>9</v>
      </c>
      <c r="S89" s="13">
        <v>1</v>
      </c>
      <c r="T89" s="13">
        <f t="shared" si="3"/>
        <v>54</v>
      </c>
      <c r="U89" s="13" t="s">
        <v>243</v>
      </c>
    </row>
    <row r="90" spans="1:22" ht="15" customHeight="1" x14ac:dyDescent="0.25">
      <c r="A90" s="5" t="str">
        <f>("911")</f>
        <v>911</v>
      </c>
      <c r="B90" s="6" t="s">
        <v>183</v>
      </c>
      <c r="C90" s="6" t="s">
        <v>184</v>
      </c>
      <c r="D90" s="5" t="str">
        <f>("149118")</f>
        <v>149118</v>
      </c>
      <c r="E90" s="6" t="s">
        <v>23</v>
      </c>
      <c r="F90" s="6" t="s">
        <v>185</v>
      </c>
      <c r="G90" s="11" t="s">
        <v>12</v>
      </c>
      <c r="H90" s="13">
        <v>6</v>
      </c>
      <c r="I90" s="13">
        <v>0</v>
      </c>
      <c r="J90" s="13">
        <v>10</v>
      </c>
      <c r="K90" s="13">
        <v>8</v>
      </c>
      <c r="L90" s="13">
        <v>9</v>
      </c>
      <c r="M90" s="13">
        <v>3</v>
      </c>
      <c r="N90" s="13">
        <v>9</v>
      </c>
      <c r="O90" s="13">
        <v>1</v>
      </c>
      <c r="P90" s="13">
        <v>10</v>
      </c>
      <c r="Q90" s="13">
        <v>0</v>
      </c>
      <c r="R90" s="13">
        <v>0</v>
      </c>
      <c r="S90" s="13">
        <v>0</v>
      </c>
      <c r="T90" s="13">
        <f t="shared" si="3"/>
        <v>56</v>
      </c>
      <c r="U90" s="13" t="s">
        <v>244</v>
      </c>
    </row>
    <row r="91" spans="1:22" ht="15" customHeight="1" x14ac:dyDescent="0.25">
      <c r="A91" s="5" t="str">
        <f>("401")</f>
        <v>401</v>
      </c>
      <c r="B91" s="6" t="s">
        <v>155</v>
      </c>
      <c r="C91" s="6" t="s">
        <v>156</v>
      </c>
      <c r="D91" s="5" t="str">
        <f>("136575")</f>
        <v>136575</v>
      </c>
      <c r="E91" s="6" t="s">
        <v>23</v>
      </c>
      <c r="F91" s="6" t="s">
        <v>157</v>
      </c>
      <c r="G91" s="11" t="s">
        <v>12</v>
      </c>
      <c r="H91" s="13">
        <v>13</v>
      </c>
      <c r="I91" s="13">
        <v>0</v>
      </c>
      <c r="J91" s="13">
        <v>11</v>
      </c>
      <c r="K91" s="13">
        <v>7</v>
      </c>
      <c r="L91" s="13">
        <v>10</v>
      </c>
      <c r="M91" s="13">
        <v>8</v>
      </c>
      <c r="N91" s="13">
        <v>10</v>
      </c>
      <c r="O91" s="13">
        <v>13</v>
      </c>
      <c r="P91" s="13">
        <v>5</v>
      </c>
      <c r="Q91" s="13">
        <v>0</v>
      </c>
      <c r="R91" s="13">
        <v>9</v>
      </c>
      <c r="S91" s="13">
        <v>0</v>
      </c>
      <c r="T91" s="13">
        <f t="shared" si="3"/>
        <v>86</v>
      </c>
      <c r="U91" s="13" t="s">
        <v>245</v>
      </c>
    </row>
    <row r="92" spans="1:22" ht="15" customHeight="1" x14ac:dyDescent="0.25">
      <c r="A92" s="5" t="str">
        <f>("61")</f>
        <v>61</v>
      </c>
      <c r="B92" s="6" t="s">
        <v>64</v>
      </c>
      <c r="C92" s="6" t="s">
        <v>65</v>
      </c>
      <c r="D92" s="5" t="str">
        <f>("27425")</f>
        <v>27425</v>
      </c>
      <c r="E92" s="6" t="s">
        <v>23</v>
      </c>
      <c r="F92" s="6" t="s">
        <v>66</v>
      </c>
      <c r="G92" s="11" t="s">
        <v>12</v>
      </c>
      <c r="H92" s="13">
        <v>8</v>
      </c>
      <c r="I92" s="13">
        <v>0</v>
      </c>
      <c r="J92" s="13">
        <v>11</v>
      </c>
      <c r="K92" s="13">
        <v>11</v>
      </c>
      <c r="L92" s="13">
        <v>10</v>
      </c>
      <c r="M92" s="13">
        <v>9</v>
      </c>
      <c r="N92" s="13">
        <v>13</v>
      </c>
      <c r="O92" s="13">
        <v>11</v>
      </c>
      <c r="P92" s="13">
        <v>9</v>
      </c>
      <c r="Q92" s="13">
        <v>2</v>
      </c>
      <c r="R92" s="13">
        <v>9</v>
      </c>
      <c r="S92" s="13">
        <v>3</v>
      </c>
      <c r="T92" s="13">
        <f t="shared" si="3"/>
        <v>96</v>
      </c>
      <c r="U92" s="13" t="s">
        <v>246</v>
      </c>
    </row>
    <row r="93" spans="1:22" ht="15" customHeight="1" x14ac:dyDescent="0.25">
      <c r="A93" s="5" t="str">
        <f>("126")</f>
        <v>126</v>
      </c>
      <c r="B93" s="6" t="s">
        <v>97</v>
      </c>
      <c r="C93" s="6" t="s">
        <v>98</v>
      </c>
      <c r="D93" s="5" t="str">
        <f>("85124")</f>
        <v>85124</v>
      </c>
      <c r="E93" s="6" t="s">
        <v>23</v>
      </c>
      <c r="F93" s="6" t="s">
        <v>75</v>
      </c>
      <c r="G93" s="11" t="s">
        <v>12</v>
      </c>
      <c r="H93" s="13" t="s">
        <v>230</v>
      </c>
      <c r="I93" s="13" t="s">
        <v>230</v>
      </c>
      <c r="J93" s="13" t="s">
        <v>230</v>
      </c>
      <c r="K93" s="13" t="s">
        <v>230</v>
      </c>
      <c r="L93" s="13" t="s">
        <v>230</v>
      </c>
      <c r="M93" s="13" t="s">
        <v>230</v>
      </c>
      <c r="N93" s="13" t="s">
        <v>230</v>
      </c>
      <c r="O93" s="13" t="s">
        <v>230</v>
      </c>
      <c r="P93" s="13" t="s">
        <v>230</v>
      </c>
      <c r="Q93" s="13" t="s">
        <v>230</v>
      </c>
      <c r="R93" s="13" t="s">
        <v>230</v>
      </c>
      <c r="S93" s="13" t="s">
        <v>230</v>
      </c>
      <c r="T93" s="13" t="s">
        <v>230</v>
      </c>
      <c r="U93" s="13" t="s">
        <v>230</v>
      </c>
      <c r="V93" t="s">
        <v>186</v>
      </c>
    </row>
    <row r="94" spans="1:22" ht="15" customHeight="1" x14ac:dyDescent="0.25">
      <c r="A94" s="5" t="str">
        <f>("184")</f>
        <v>184</v>
      </c>
      <c r="B94" s="6" t="s">
        <v>107</v>
      </c>
      <c r="C94" s="6" t="s">
        <v>108</v>
      </c>
      <c r="D94" s="5" t="str">
        <f>("188685")</f>
        <v>188685</v>
      </c>
      <c r="E94" s="6" t="s">
        <v>23</v>
      </c>
      <c r="F94" s="6" t="s">
        <v>24</v>
      </c>
      <c r="G94" s="11" t="s">
        <v>12</v>
      </c>
      <c r="H94" s="13" t="s">
        <v>230</v>
      </c>
      <c r="I94" s="13" t="s">
        <v>230</v>
      </c>
      <c r="J94" s="13" t="s">
        <v>230</v>
      </c>
      <c r="K94" s="13" t="s">
        <v>230</v>
      </c>
      <c r="L94" s="13" t="s">
        <v>230</v>
      </c>
      <c r="M94" s="13" t="s">
        <v>230</v>
      </c>
      <c r="N94" s="13" t="s">
        <v>230</v>
      </c>
      <c r="O94" s="13" t="s">
        <v>230</v>
      </c>
      <c r="P94" s="13" t="s">
        <v>230</v>
      </c>
      <c r="Q94" s="13" t="s">
        <v>230</v>
      </c>
      <c r="R94" s="13" t="s">
        <v>230</v>
      </c>
      <c r="S94" s="13" t="s">
        <v>230</v>
      </c>
      <c r="T94" s="13" t="s">
        <v>230</v>
      </c>
      <c r="U94" s="13" t="s">
        <v>230</v>
      </c>
      <c r="V94" t="s">
        <v>186</v>
      </c>
    </row>
    <row r="95" spans="1:22" ht="15" customHeight="1" x14ac:dyDescent="0.25">
      <c r="A95" s="5"/>
      <c r="B95" s="6"/>
      <c r="C95" s="6"/>
      <c r="D95" s="5"/>
      <c r="E95" s="6"/>
      <c r="F95" s="6"/>
      <c r="G95" s="11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t="s">
        <v>186</v>
      </c>
    </row>
    <row r="96" spans="1:22" ht="15" customHeight="1" x14ac:dyDescent="0.25">
      <c r="A96" s="5" t="str">
        <f>("62")</f>
        <v>62</v>
      </c>
      <c r="B96" s="6" t="s">
        <v>67</v>
      </c>
      <c r="C96" s="6" t="s">
        <v>68</v>
      </c>
      <c r="D96" s="5" t="str">
        <f>("181649")</f>
        <v>181649</v>
      </c>
      <c r="E96" s="6" t="s">
        <v>150</v>
      </c>
      <c r="F96" s="6" t="s">
        <v>69</v>
      </c>
      <c r="G96" s="11" t="s">
        <v>39</v>
      </c>
      <c r="H96" s="13">
        <v>0</v>
      </c>
      <c r="I96" s="13">
        <v>0</v>
      </c>
      <c r="J96" s="13">
        <v>4</v>
      </c>
      <c r="K96" s="13">
        <v>0</v>
      </c>
      <c r="L96" s="13">
        <v>5</v>
      </c>
      <c r="M96" s="13">
        <v>2</v>
      </c>
      <c r="N96" s="13">
        <v>1</v>
      </c>
      <c r="O96" s="13">
        <v>7</v>
      </c>
      <c r="P96" s="13">
        <v>0</v>
      </c>
      <c r="Q96" s="13">
        <v>0</v>
      </c>
      <c r="R96" s="13">
        <v>0</v>
      </c>
      <c r="S96" s="13">
        <v>0</v>
      </c>
      <c r="T96" s="13">
        <f>SUM(H96:S96)</f>
        <v>19</v>
      </c>
      <c r="U96" s="13" t="s">
        <v>233</v>
      </c>
    </row>
    <row r="97" spans="1:22" ht="15" customHeight="1" x14ac:dyDescent="0.25">
      <c r="A97" s="5" t="str">
        <f>("374")</f>
        <v>374</v>
      </c>
      <c r="B97" s="6" t="s">
        <v>87</v>
      </c>
      <c r="C97" s="6" t="s">
        <v>149</v>
      </c>
      <c r="D97" s="5" t="str">
        <f>("178232")</f>
        <v>178232</v>
      </c>
      <c r="E97" s="6" t="s">
        <v>150</v>
      </c>
      <c r="F97" s="6" t="s">
        <v>151</v>
      </c>
      <c r="G97" s="11" t="s">
        <v>121</v>
      </c>
      <c r="H97" s="13">
        <v>8</v>
      </c>
      <c r="I97" s="13">
        <v>0</v>
      </c>
      <c r="J97" s="13">
        <v>5</v>
      </c>
      <c r="K97" s="13">
        <v>5</v>
      </c>
      <c r="L97" s="13">
        <v>2</v>
      </c>
      <c r="M97" s="13">
        <v>1</v>
      </c>
      <c r="N97" s="13">
        <v>5</v>
      </c>
      <c r="O97" s="13">
        <v>1</v>
      </c>
      <c r="P97" s="13">
        <v>0</v>
      </c>
      <c r="Q97" s="13">
        <v>0</v>
      </c>
      <c r="R97" s="13">
        <v>1</v>
      </c>
      <c r="S97" s="13">
        <v>0</v>
      </c>
      <c r="T97" s="13">
        <f>SUM(H97:S97)</f>
        <v>28</v>
      </c>
      <c r="U97" s="13" t="s">
        <v>234</v>
      </c>
    </row>
    <row r="98" spans="1:22" ht="15" customHeight="1" x14ac:dyDescent="0.25">
      <c r="A98" s="5" t="str">
        <f>("402")</f>
        <v>402</v>
      </c>
      <c r="B98" s="6" t="s">
        <v>158</v>
      </c>
      <c r="C98" s="6" t="s">
        <v>159</v>
      </c>
      <c r="D98" s="5" t="str">
        <f>("147384")</f>
        <v>147384</v>
      </c>
      <c r="E98" s="6" t="s">
        <v>150</v>
      </c>
      <c r="F98" s="6" t="s">
        <v>69</v>
      </c>
      <c r="G98" s="11" t="s">
        <v>12</v>
      </c>
      <c r="H98" s="13" t="s">
        <v>230</v>
      </c>
      <c r="I98" s="13" t="s">
        <v>230</v>
      </c>
      <c r="J98" s="13" t="s">
        <v>230</v>
      </c>
      <c r="K98" s="13" t="s">
        <v>230</v>
      </c>
      <c r="L98" s="13" t="s">
        <v>230</v>
      </c>
      <c r="M98" s="13" t="s">
        <v>230</v>
      </c>
      <c r="N98" s="13" t="s">
        <v>230</v>
      </c>
      <c r="O98" s="13" t="s">
        <v>230</v>
      </c>
      <c r="P98" s="13" t="s">
        <v>230</v>
      </c>
      <c r="Q98" s="13" t="s">
        <v>230</v>
      </c>
      <c r="R98" s="13" t="s">
        <v>230</v>
      </c>
      <c r="S98" s="13" t="s">
        <v>230</v>
      </c>
      <c r="T98" s="13" t="s">
        <v>230</v>
      </c>
      <c r="U98" s="13" t="s">
        <v>230</v>
      </c>
      <c r="V98" t="s">
        <v>186</v>
      </c>
    </row>
    <row r="99" spans="1:22" ht="15" customHeight="1" x14ac:dyDescent="0.25">
      <c r="A99" s="5"/>
      <c r="B99" s="6"/>
      <c r="C99" s="6"/>
      <c r="D99" s="5"/>
      <c r="E99" s="6"/>
      <c r="F99" s="6"/>
      <c r="G99" s="11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2" ht="15" customHeight="1" x14ac:dyDescent="0.25">
      <c r="A100" s="5">
        <v>522</v>
      </c>
      <c r="B100" s="6" t="s">
        <v>190</v>
      </c>
      <c r="C100" s="6" t="s">
        <v>178</v>
      </c>
      <c r="D100" s="5">
        <v>191998</v>
      </c>
      <c r="E100" s="6" t="s">
        <v>191</v>
      </c>
      <c r="F100" s="6" t="s">
        <v>192</v>
      </c>
      <c r="G100" s="11" t="s">
        <v>12</v>
      </c>
      <c r="H100" s="13">
        <v>3</v>
      </c>
      <c r="I100" s="13">
        <v>9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13">
        <v>15</v>
      </c>
      <c r="P100" s="13">
        <v>5</v>
      </c>
      <c r="Q100" s="13">
        <v>2</v>
      </c>
      <c r="R100" s="13">
        <v>2</v>
      </c>
      <c r="S100" s="13">
        <v>2</v>
      </c>
      <c r="T100" s="13">
        <f>SUM(H100:S100)</f>
        <v>43</v>
      </c>
      <c r="U100" s="13" t="s">
        <v>233</v>
      </c>
    </row>
    <row r="101" spans="1:22" ht="15" customHeight="1" x14ac:dyDescent="0.25"/>
    <row r="102" spans="1:22" ht="15" customHeight="1" x14ac:dyDescent="0.25"/>
  </sheetData>
  <sortState xmlns:xlrd2="http://schemas.microsoft.com/office/spreadsheetml/2017/richdata2" ref="A61:W62">
    <sortCondition ref="T61:T62"/>
  </sortState>
  <mergeCells count="4">
    <mergeCell ref="A1:G1"/>
    <mergeCell ref="A3:G3"/>
    <mergeCell ref="A5:G5"/>
    <mergeCell ref="B7:C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2022-04-06T19:29:32Z</dcterms:created>
  <dcterms:modified xsi:type="dcterms:W3CDTF">2022-04-12T18:06:23Z</dcterms:modified>
</cp:coreProperties>
</file>